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35" windowWidth="11520" windowHeight="5490" tabRatio="822"/>
  </bookViews>
  <sheets>
    <sheet name="SGO calculation(Tiered or Simp)" sheetId="3" r:id="rId1"/>
    <sheet name="SGO #1(Tiered or Simple)" sheetId="1" r:id="rId2"/>
    <sheet name="SGO #2(Tiered or Simple)" sheetId="2" r:id="rId3"/>
    <sheet name="Print Out" sheetId="5" r:id="rId4"/>
    <sheet name="Calculations" sheetId="4" state="hidden" r:id="rId5"/>
    <sheet name="SGO#1 Simple Form" sheetId="7" r:id="rId6"/>
    <sheet name="SGO#1 Tiered Average" sheetId="10" r:id="rId7"/>
    <sheet name="SGO#1 Tiered Weighted" sheetId="11" r:id="rId8"/>
    <sheet name="SGO#2 Simple Form" sheetId="9" r:id="rId9"/>
    <sheet name="SGO#2 Tiered Average" sheetId="12" r:id="rId10"/>
    <sheet name="SGO#2 Tiered Weighted" sheetId="13" r:id="rId11"/>
  </sheets>
  <definedNames>
    <definedName name="_0">Calculations!$E$4:$E$5</definedName>
    <definedName name="_1">Calculations!$F$4:$F$5</definedName>
    <definedName name="_10">Calculations!$O$4:$O$9</definedName>
    <definedName name="_100">Calculations!$DA$4:$DA$8</definedName>
    <definedName name="_11">Calculations!$P$4:$P$9</definedName>
    <definedName name="_12">Calculations!$Q$4:$Q$9</definedName>
    <definedName name="_13">Calculations!$R$4:$R$9</definedName>
    <definedName name="_14">Calculations!$S$4:$S$9</definedName>
    <definedName name="_15">Calculations!$T$4:$T$9</definedName>
    <definedName name="_16">Calculations!$U$4:$U$9</definedName>
    <definedName name="_17">Calculations!$V$4:$V$9</definedName>
    <definedName name="_18">Calculations!$W$4:$W$9</definedName>
    <definedName name="_19">Calculations!$X$4:$X$9</definedName>
    <definedName name="_2">Calculations!$G$4:$G$5</definedName>
    <definedName name="_20">Calculations!$Y$4:$Y$9</definedName>
    <definedName name="_21">Calculations!$Z$4:$Z$8</definedName>
    <definedName name="_22">Calculations!$AA$4:$AA$8</definedName>
    <definedName name="_23">Calculations!$AB$4:$AB$8</definedName>
    <definedName name="_24">Calculations!$AC$4:$AC$8</definedName>
    <definedName name="_25">Calculations!$AD$4:$AD$8</definedName>
    <definedName name="_26">Calculations!$AE$4:$AE$8</definedName>
    <definedName name="_27">Calculations!$AF$4:$AF$8</definedName>
    <definedName name="_28">Calculations!$AG$4:$AG$8</definedName>
    <definedName name="_29">Calculations!$AH$4:$AH$8</definedName>
    <definedName name="_3">Calculations!$H$4:$H$5</definedName>
    <definedName name="_30">Calculations!$AI$4:$AI$8</definedName>
    <definedName name="_31">Calculations!$AJ$4:$AJ$8</definedName>
    <definedName name="_32">Calculations!$AK$4:$AK$8</definedName>
    <definedName name="_33">Calculations!$AL$4:$AL$8</definedName>
    <definedName name="_34">Calculations!$AM$4:$AM$8</definedName>
    <definedName name="_35">Calculations!$AN$4:$AN$8</definedName>
    <definedName name="_36">Calculations!$AO$4:$AO$8</definedName>
    <definedName name="_37">Calculations!$AP$4:$AP$8</definedName>
    <definedName name="_38">Calculations!$AQ$4:$AQ$8</definedName>
    <definedName name="_39">Calculations!$AR$4:$AR$8</definedName>
    <definedName name="_4">Calculations!$I$4:$I$5</definedName>
    <definedName name="_40">Calculations!$AS$4:$AS$8</definedName>
    <definedName name="_41">Calculations!$AT$4:$AT$8</definedName>
    <definedName name="_42">Calculations!$AU$4:$AU$8</definedName>
    <definedName name="_43">Calculations!$AV$4:$AV$8</definedName>
    <definedName name="_44">Calculations!$AW$4:$AW$8</definedName>
    <definedName name="_45">Calculations!$AX$4:$AX$8</definedName>
    <definedName name="_46">Calculations!$AY$4:$AY$8</definedName>
    <definedName name="_47">Calculations!$AZ$4:$AZ$8</definedName>
    <definedName name="_48">Calculations!$BA$4:$BA$8</definedName>
    <definedName name="_49">Calculations!$BB$4:$BB$8</definedName>
    <definedName name="_5">Calculations!$J$4:$J$7</definedName>
    <definedName name="_50">Calculations!$BC$4:$BC$8</definedName>
    <definedName name="_51">Calculations!$BD$4:$BD$8</definedName>
    <definedName name="_52">Calculations!$BE$4:$BE$8</definedName>
    <definedName name="_53">Calculations!$BF$4:$BF$8</definedName>
    <definedName name="_54">Calculations!$BG$4:$BG$8</definedName>
    <definedName name="_55">Calculations!$BH$4:$BH$8</definedName>
    <definedName name="_56">Calculations!$BI$4:$BI$8</definedName>
    <definedName name="_57">Calculations!$BJ$4:$BJ$8</definedName>
    <definedName name="_58">Calculations!$BK$4:$BK$8</definedName>
    <definedName name="_59">Calculations!$BL$4:$BL$8</definedName>
    <definedName name="_6">Calculations!$K$4:$K$8</definedName>
    <definedName name="_60">Calculations!$BM$4:$BM$8</definedName>
    <definedName name="_61">Calculations!$BN$4:$BN$8</definedName>
    <definedName name="_62">Calculations!$BO$4:$BO$8</definedName>
    <definedName name="_63">Calculations!$BP$4:$BP$8</definedName>
    <definedName name="_64">Calculations!$BQ$4:$BQ$8</definedName>
    <definedName name="_65">Calculations!$BR$4:$BR$8</definedName>
    <definedName name="_66">Calculations!$BS$4:$BS$8</definedName>
    <definedName name="_67">Calculations!$BT$4:$BT$8</definedName>
    <definedName name="_68">Calculations!$BU$4:$BU$8</definedName>
    <definedName name="_69">Calculations!$BV$4:$BV$8</definedName>
    <definedName name="_7">Calculations!$L$4:$L$8</definedName>
    <definedName name="_70">Calculations!$BW$4:$BW$8</definedName>
    <definedName name="_71">Calculations!$BX$4:$BX$8</definedName>
    <definedName name="_72">Calculations!$BY$4:$BY$8</definedName>
    <definedName name="_73">Calculations!$BZ$4:$BZ$8</definedName>
    <definedName name="_74">Calculations!$CA$4:$CA$8</definedName>
    <definedName name="_75">Calculations!$CB$4:$CB$8</definedName>
    <definedName name="_76">Calculations!$CC$4:$CC$8</definedName>
    <definedName name="_77">Calculations!$CD$4:$CD$8</definedName>
    <definedName name="_78">Calculations!$CE$4:$CE$8</definedName>
    <definedName name="_79">Calculations!$CF$4:$CF$8</definedName>
    <definedName name="_8">Calculations!$M$4:$M$8</definedName>
    <definedName name="_80">Calculations!$CG$4:$CG$8</definedName>
    <definedName name="_81">Calculations!$CH$4:$CH$8</definedName>
    <definedName name="_82">Calculations!$CI$4:$CI$8</definedName>
    <definedName name="_83">Calculations!$CJ$4:$CJ$8</definedName>
    <definedName name="_84">Calculations!$CK$4:$CK$8</definedName>
    <definedName name="_85">Calculations!$CL$4:$CL$8</definedName>
    <definedName name="_86">Calculations!$CM$4:$CM$8</definedName>
    <definedName name="_87">Calculations!$CN$4:$CN$8</definedName>
    <definedName name="_88">Calculations!$CO$4:$CO$8</definedName>
    <definedName name="_89">Calculations!$CP$4:$CP$8</definedName>
    <definedName name="_9">Calculations!$N$4:$N$9</definedName>
    <definedName name="_90">Calculations!$CQ$4:$CQ$8</definedName>
    <definedName name="_91">Calculations!$CR$4:$CR$8</definedName>
    <definedName name="_92">Calculations!$CS$4:$CS$8</definedName>
    <definedName name="_93">Calculations!$CT$4:$CT$8</definedName>
    <definedName name="_94">Calculations!$CU$4:$CU$8</definedName>
    <definedName name="_95">Calculations!$CV$4:$CV$8</definedName>
    <definedName name="_96">Calculations!$CW$4:$CW$8</definedName>
    <definedName name="_97">Calculations!$CX$4:$CX$8</definedName>
    <definedName name="_98">Calculations!$CY$4:$CY$8</definedName>
    <definedName name="_99">Calculations!$CZ$4:$CZ$8</definedName>
    <definedName name="Clear1">'SGO #1(Tiered or Simple)'!$D$4,'SGO #1(Tiered or Simple)'!$D$5,'SGO #1(Tiered or Simple)'!$D$6,'SGO #1(Tiered or Simple)'!$B$12,'SGO #1(Tiered or Simple)'!$B$15,'SGO #1(Tiered or Simple)'!$B$18,'SGO #1(Tiered or Simple)'!$F$12,'SGO #1(Tiered or Simple)'!$F$15,'SGO #1(Tiered or Simple)'!$F$18,'SGO #1(Tiered or Simple)'!$B$29:$H$178,'SGO #1(Tiered or Simple)'!$B$181:$H$305,'SGO #1(Tiered or Simple)'!$B$333:$H$457</definedName>
    <definedName name="clear2">'SGO #1(Tiered or Simple)'!$B$333:$H$457,'SGO #1(Tiered or Simple)'!$B$181:$H$305,'SGO #1(Tiered or Simple)'!$B$29:$H$178,'SGO #1(Tiered or Simple)'!$F$18,'SGO #1(Tiered or Simple)'!$F$15,'SGO #1(Tiered or Simple)'!$F$12,'SGO #1(Tiered or Simple)'!$B$18,'SGO #1(Tiered or Simple)'!$B$15,'SGO #1(Tiered or Simple)'!$B$12,'SGO #1(Tiered or Simple)'!$D$6,'SGO #1(Tiered or Simple)'!$D$5,'SGO #1(Tiered or Simple)'!$D$4</definedName>
    <definedName name="clear3">'SGO #1(Tiered or Simple)'!$B$333:$H$457,'SGO #1(Tiered or Simple)'!$B$181:$H$305,'SGO #1(Tiered or Simple)'!$B$29:$H$178,'SGO #1(Tiered or Simple)'!$F$18,'SGO #1(Tiered or Simple)'!$F$15,'SGO #1(Tiered or Simple)'!$F$12,'SGO #1(Tiered or Simple)'!$B$18,'SGO #1(Tiered or Simple)'!$B$15,'SGO #1(Tiered or Simple)'!$B$12,'SGO #1(Tiered or Simple)'!$D$6,'SGO #1(Tiered or Simple)'!$D$5,'SGO #1(Tiered or Simple)'!$D$4</definedName>
    <definedName name="clear4">'SGO #2(Tiered or Simple)'!$H$333,'SGO #2(Tiered or Simple)'!$B$333:$H$482,'SGO #2(Tiered or Simple)'!$B$181:$H$330,'SGO #2(Tiered or Simple)'!$B$29:$H$178,'SGO #2(Tiered or Simple)'!$F$18,'SGO #2(Tiered or Simple)'!$F$15,'SGO #2(Tiered or Simple)'!$F$12,'SGO #2(Tiered or Simple)'!$B$18,'SGO #2(Tiered or Simple)'!$B$15,'SGO #2(Tiered or Simple)'!$B$12,'SGO #2(Tiered or Simple)'!$D$6,'SGO #2(Tiered or Simple)'!$D$5,'SGO #2(Tiered or Simple)'!$D$4</definedName>
  </definedNames>
  <calcPr calcId="145621"/>
</workbook>
</file>

<file path=xl/calcChain.xml><?xml version="1.0" encoding="utf-8"?>
<calcChain xmlns="http://schemas.openxmlformats.org/spreadsheetml/2006/main">
  <c r="D14" i="1" l="1"/>
  <c r="R37" i="2"/>
  <c r="R39" i="2"/>
  <c r="R38" i="2"/>
  <c r="R38" i="1"/>
  <c r="S37" i="1"/>
  <c r="R37" i="1"/>
  <c r="S39" i="2"/>
  <c r="S38" i="1"/>
  <c r="S39" i="1"/>
  <c r="R39" i="1"/>
  <c r="S37" i="2"/>
  <c r="S38" i="2"/>
  <c r="T37" i="1" l="1"/>
  <c r="U37" i="1"/>
  <c r="T39" i="2"/>
  <c r="T38" i="1"/>
  <c r="T37" i="2"/>
  <c r="T39" i="1"/>
  <c r="T38" i="2"/>
  <c r="U38" i="1"/>
  <c r="U39" i="1"/>
  <c r="U37" i="2"/>
  <c r="U38" i="2"/>
  <c r="U39" i="2"/>
  <c r="C10" i="5"/>
  <c r="D17" i="1"/>
  <c r="E182" i="10" l="1"/>
  <c r="E183" i="11"/>
  <c r="E183" i="10"/>
  <c r="B191" i="10"/>
  <c r="E182" i="11"/>
  <c r="B193" i="11"/>
  <c r="D10" i="5"/>
  <c r="D11" i="5"/>
  <c r="B191" i="11"/>
  <c r="B193" i="10"/>
  <c r="C11" i="5"/>
  <c r="C207" i="13"/>
  <c r="C206" i="13"/>
  <c r="H199" i="13"/>
  <c r="C172" i="13"/>
  <c r="A172" i="13"/>
  <c r="C147" i="13"/>
  <c r="B197" i="13" s="1"/>
  <c r="C146" i="13"/>
  <c r="B196" i="13" s="1"/>
  <c r="C145" i="13"/>
  <c r="F119" i="13"/>
  <c r="F118" i="13"/>
  <c r="F117" i="13"/>
  <c r="C83" i="13"/>
  <c r="C82" i="13"/>
  <c r="C81" i="13"/>
  <c r="C70" i="13"/>
  <c r="C68" i="13"/>
  <c r="C31" i="13"/>
  <c r="C29" i="13"/>
  <c r="C206" i="12"/>
  <c r="C172" i="12"/>
  <c r="A172" i="12"/>
  <c r="C147" i="12"/>
  <c r="H200" i="12" s="1"/>
  <c r="C146" i="12"/>
  <c r="B196" i="12" s="1"/>
  <c r="C145" i="12"/>
  <c r="F119" i="12"/>
  <c r="F118" i="12"/>
  <c r="F117" i="12"/>
  <c r="C83" i="12"/>
  <c r="C82" i="12"/>
  <c r="C81" i="12"/>
  <c r="C70" i="12"/>
  <c r="C68" i="12"/>
  <c r="C31" i="12"/>
  <c r="C29" i="12"/>
  <c r="C207" i="11"/>
  <c r="C206" i="11"/>
  <c r="C172" i="11"/>
  <c r="A172" i="11"/>
  <c r="C147" i="11"/>
  <c r="C208" i="11" s="1"/>
  <c r="C146" i="11"/>
  <c r="B196" i="11" s="1"/>
  <c r="C145" i="11"/>
  <c r="F119" i="11"/>
  <c r="F118" i="11"/>
  <c r="F117" i="11"/>
  <c r="C83" i="11"/>
  <c r="C82" i="11"/>
  <c r="C81" i="11"/>
  <c r="C70" i="11"/>
  <c r="C68" i="11"/>
  <c r="C31" i="11"/>
  <c r="C29" i="11"/>
  <c r="C205" i="12" l="1"/>
  <c r="C208" i="13"/>
  <c r="H200" i="13"/>
  <c r="B197" i="12"/>
  <c r="C207" i="12"/>
  <c r="H199" i="12"/>
  <c r="H199" i="11"/>
  <c r="H200" i="11"/>
  <c r="B197" i="11"/>
  <c r="C207" i="10"/>
  <c r="C172" i="10"/>
  <c r="A172" i="10"/>
  <c r="C147" i="10"/>
  <c r="C208" i="10" s="1"/>
  <c r="C146" i="10"/>
  <c r="H199" i="10" s="1"/>
  <c r="C145" i="10"/>
  <c r="F119" i="10"/>
  <c r="F118" i="10"/>
  <c r="F117" i="10"/>
  <c r="C83" i="10"/>
  <c r="C82" i="10"/>
  <c r="C81" i="10"/>
  <c r="C70" i="10"/>
  <c r="C68" i="10"/>
  <c r="C31" i="10"/>
  <c r="C29" i="10"/>
  <c r="C271" i="5"/>
  <c r="C270" i="5"/>
  <c r="C5" i="5"/>
  <c r="C4" i="5"/>
  <c r="H200" i="10" l="1"/>
  <c r="B197" i="10"/>
  <c r="C206" i="10"/>
  <c r="B196" i="10"/>
  <c r="C29" i="9"/>
  <c r="C204" i="9"/>
  <c r="C172" i="9"/>
  <c r="A172" i="9"/>
  <c r="C147" i="9"/>
  <c r="C146" i="9"/>
  <c r="C203" i="9" s="1"/>
  <c r="C145" i="9"/>
  <c r="F119" i="9"/>
  <c r="F118" i="9"/>
  <c r="F117" i="9"/>
  <c r="C83" i="9"/>
  <c r="C82" i="9"/>
  <c r="C81" i="9"/>
  <c r="C70" i="9"/>
  <c r="C68" i="9"/>
  <c r="C31" i="9"/>
  <c r="C196" i="7"/>
  <c r="C172" i="7"/>
  <c r="A172" i="7"/>
  <c r="C147" i="7"/>
  <c r="B188" i="7" s="1"/>
  <c r="C146" i="7"/>
  <c r="C195" i="7" s="1"/>
  <c r="C145" i="7"/>
  <c r="F119" i="7"/>
  <c r="C81" i="7"/>
  <c r="C68" i="7"/>
  <c r="F118" i="7"/>
  <c r="F117" i="7"/>
  <c r="C83" i="7"/>
  <c r="C82" i="7"/>
  <c r="C70" i="7"/>
  <c r="C31" i="7"/>
  <c r="C29" i="7"/>
  <c r="C205" i="9" l="1"/>
  <c r="B188" i="9"/>
  <c r="H190" i="9"/>
  <c r="H190" i="7"/>
  <c r="C197" i="7"/>
  <c r="H191" i="7"/>
  <c r="H191" i="9"/>
  <c r="B187" i="7"/>
  <c r="B187" i="9"/>
  <c r="D17" i="2" l="1"/>
  <c r="D14" i="2"/>
  <c r="D11" i="2"/>
  <c r="E275" i="5" s="1"/>
  <c r="D11" i="1"/>
  <c r="C181" i="12" l="1"/>
  <c r="C181" i="13"/>
  <c r="E181" i="13"/>
  <c r="E181" i="12"/>
  <c r="C182" i="13"/>
  <c r="E182" i="13"/>
  <c r="C183" i="13"/>
  <c r="E183" i="13"/>
  <c r="C183" i="12"/>
  <c r="E183" i="12"/>
  <c r="E182" i="12"/>
  <c r="C182" i="12"/>
  <c r="B193" i="13"/>
  <c r="B193" i="12"/>
  <c r="B191" i="13"/>
  <c r="D276" i="5"/>
  <c r="B191" i="12"/>
  <c r="A184" i="9"/>
  <c r="B189" i="13"/>
  <c r="B189" i="12"/>
  <c r="B189" i="11"/>
  <c r="B189" i="10"/>
  <c r="D9" i="5"/>
  <c r="E181" i="10"/>
  <c r="E181" i="11"/>
  <c r="A184" i="7"/>
  <c r="D277" i="5"/>
  <c r="D275" i="5"/>
  <c r="C277" i="5"/>
  <c r="C276" i="5"/>
  <c r="C275" i="5"/>
  <c r="C9" i="5"/>
  <c r="C183" i="11"/>
  <c r="C183" i="10"/>
  <c r="C182" i="11"/>
  <c r="C182" i="10"/>
  <c r="C181" i="11"/>
  <c r="C181" i="10"/>
  <c r="F18" i="4"/>
  <c r="C279" i="5" l="1"/>
  <c r="C13" i="5"/>
  <c r="C16" i="4"/>
  <c r="AE355" i="2"/>
  <c r="AE438" i="2"/>
  <c r="AE352" i="2"/>
  <c r="AE429" i="2"/>
  <c r="AD340" i="2"/>
  <c r="AA379" i="2"/>
  <c r="AD407" i="2"/>
  <c r="AA272" i="2"/>
  <c r="AE353" i="2"/>
  <c r="AC405" i="2"/>
  <c r="AF392" i="2"/>
  <c r="AD306" i="2"/>
  <c r="AB287" i="2"/>
  <c r="AD266" i="2"/>
  <c r="AA345" i="2"/>
  <c r="AB252" i="2"/>
  <c r="AD436" i="2"/>
  <c r="AE345" i="2"/>
  <c r="AD278" i="2"/>
  <c r="AG475" i="2"/>
  <c r="AG470" i="2"/>
  <c r="AF360" i="2"/>
  <c r="AE255" i="2"/>
  <c r="AB381" i="2"/>
  <c r="AF402" i="2"/>
  <c r="AB402" i="2"/>
  <c r="AF74" i="2"/>
  <c r="AC267" i="2"/>
  <c r="AG223" i="2"/>
  <c r="AE339" i="2"/>
  <c r="AC258" i="2"/>
  <c r="AG150" i="2"/>
  <c r="AF362" i="2"/>
  <c r="AA460" i="2"/>
  <c r="AF438" i="2"/>
  <c r="AF441" i="2"/>
  <c r="AF436" i="2"/>
  <c r="AD327" i="2"/>
  <c r="AC407" i="2"/>
  <c r="AA425" i="2"/>
  <c r="AE337" i="2"/>
  <c r="AE361" i="2"/>
  <c r="AA333" i="2"/>
  <c r="AE414" i="2"/>
  <c r="AD393" i="2"/>
  <c r="AE446" i="2"/>
  <c r="AB398" i="2"/>
  <c r="AD336" i="2"/>
  <c r="AA442" i="2"/>
  <c r="AG447" i="2"/>
  <c r="AG237" i="2"/>
  <c r="AD103" i="2"/>
  <c r="AA271" i="2"/>
  <c r="AC319" i="2"/>
  <c r="AC299" i="2"/>
  <c r="AF126" i="2"/>
  <c r="AE244" i="2"/>
  <c r="AC297" i="2"/>
  <c r="AE319" i="2"/>
  <c r="AG480" i="2"/>
  <c r="AA354" i="2"/>
  <c r="AF102" i="2"/>
  <c r="AA413" i="2"/>
  <c r="E201" i="5"/>
  <c r="AD434" i="2"/>
  <c r="AE389" i="2"/>
  <c r="AG393" i="2"/>
  <c r="AC281" i="2"/>
  <c r="AE349" i="2"/>
  <c r="AB392" i="2"/>
  <c r="AB281" i="2"/>
  <c r="AC365" i="2"/>
  <c r="AC264" i="2"/>
  <c r="AC377" i="2"/>
  <c r="AG302" i="2"/>
  <c r="AG225" i="2"/>
  <c r="AD355" i="2"/>
  <c r="AB53" i="2"/>
  <c r="AC441" i="2"/>
  <c r="AG217" i="2"/>
  <c r="AA308" i="2"/>
  <c r="AF300" i="2"/>
  <c r="AB343" i="2"/>
  <c r="AB38" i="2"/>
  <c r="AF446" i="2"/>
  <c r="AF233" i="2"/>
  <c r="AB454" i="2"/>
  <c r="AF344" i="2"/>
  <c r="AA243" i="2"/>
  <c r="AC468" i="2"/>
  <c r="AC158" i="2"/>
  <c r="AA157" i="2"/>
  <c r="AB190" i="2"/>
  <c r="AG428" i="2"/>
  <c r="AE443" i="2"/>
  <c r="AA386" i="2"/>
  <c r="AB385" i="2"/>
  <c r="AA479" i="2"/>
  <c r="AC325" i="2"/>
  <c r="AF456" i="2"/>
  <c r="AC269" i="2"/>
  <c r="AD406" i="2"/>
  <c r="AB358" i="2"/>
  <c r="AA478" i="2"/>
  <c r="AE413" i="2"/>
  <c r="AE377" i="2"/>
  <c r="AC283" i="2"/>
  <c r="AC451" i="2"/>
  <c r="AB383" i="2"/>
  <c r="AB457" i="2"/>
  <c r="AE448" i="2"/>
  <c r="AG455" i="2"/>
  <c r="AG236" i="2"/>
  <c r="AG439" i="2"/>
  <c r="AG390" i="2"/>
  <c r="AB386" i="2"/>
  <c r="AG467" i="2"/>
  <c r="AB404" i="2"/>
  <c r="AB203" i="2"/>
  <c r="AA390" i="2"/>
  <c r="AG30" i="2"/>
  <c r="AA338" i="2"/>
  <c r="AA430" i="2"/>
  <c r="AF409" i="2"/>
  <c r="AD400" i="2"/>
  <c r="AD441" i="2"/>
  <c r="AF350" i="2"/>
  <c r="AB388" i="2"/>
  <c r="AE210" i="2"/>
  <c r="AD424" i="2"/>
  <c r="AG389" i="2"/>
  <c r="AD352" i="2"/>
  <c r="AG373" i="2"/>
  <c r="AF478" i="2"/>
  <c r="AD242" i="2"/>
  <c r="AB117" i="2"/>
  <c r="AE183" i="2"/>
  <c r="AA482" i="2"/>
  <c r="AE374" i="2"/>
  <c r="AG229" i="2"/>
  <c r="AE186" i="2"/>
  <c r="AC392" i="2"/>
  <c r="AF311" i="2"/>
  <c r="AG344" i="2"/>
  <c r="AC115" i="2"/>
  <c r="AG478" i="2"/>
  <c r="AE393" i="2"/>
  <c r="AE400" i="2"/>
  <c r="AC460" i="2"/>
  <c r="AA353" i="2"/>
  <c r="AG482" i="2"/>
  <c r="AF465" i="2"/>
  <c r="AF481" i="2"/>
  <c r="AD403" i="2"/>
  <c r="AG431" i="2"/>
  <c r="AF455" i="2"/>
  <c r="AD480" i="2"/>
  <c r="AC296" i="2"/>
  <c r="AE439" i="2"/>
  <c r="AB362" i="2"/>
  <c r="AE409" i="2"/>
  <c r="AC455" i="2"/>
  <c r="AG461" i="2"/>
  <c r="AF430" i="2"/>
  <c r="AF431" i="2"/>
  <c r="AB339" i="2"/>
  <c r="AC208" i="2"/>
  <c r="AE360" i="2"/>
  <c r="AB272" i="2"/>
  <c r="AA410" i="2"/>
  <c r="AE412" i="2"/>
  <c r="AA311" i="2"/>
  <c r="AE445" i="2"/>
  <c r="AB33" i="2"/>
  <c r="AC55" i="2"/>
  <c r="AB200" i="2"/>
  <c r="AG395" i="2"/>
  <c r="AF414" i="2"/>
  <c r="AE428" i="2"/>
  <c r="AA381" i="2"/>
  <c r="AD385" i="2"/>
  <c r="AD343" i="2"/>
  <c r="AF338" i="2"/>
  <c r="AD461" i="2"/>
  <c r="AA389" i="2"/>
  <c r="AF468" i="2"/>
  <c r="AB418" i="2"/>
  <c r="AA44" i="2"/>
  <c r="AG398" i="2"/>
  <c r="AE416" i="2"/>
  <c r="AA364" i="2"/>
  <c r="AG260" i="2"/>
  <c r="AF457" i="2"/>
  <c r="AG323" i="2"/>
  <c r="AB137" i="2"/>
  <c r="AB360" i="2"/>
  <c r="AC391" i="2"/>
  <c r="AF165" i="2"/>
  <c r="AB202" i="2"/>
  <c r="AE369" i="2"/>
  <c r="AF270" i="2"/>
  <c r="AD150" i="2"/>
  <c r="AF277" i="2"/>
  <c r="AF121" i="2"/>
  <c r="AE48" i="2"/>
  <c r="AF86" i="2"/>
  <c r="AF211" i="2"/>
  <c r="AF383" i="2"/>
  <c r="AC337" i="2"/>
  <c r="AD312" i="2"/>
  <c r="AF374" i="2"/>
  <c r="AE450" i="2"/>
  <c r="AC369" i="2"/>
  <c r="AF232" i="2"/>
  <c r="AA465" i="2"/>
  <c r="AB470" i="2"/>
  <c r="AC390" i="2"/>
  <c r="AF459" i="2"/>
  <c r="AC436" i="2"/>
  <c r="AC209" i="2"/>
  <c r="AA450" i="2"/>
  <c r="AG339" i="2"/>
  <c r="AB374" i="2"/>
  <c r="AG346" i="2"/>
  <c r="AG448" i="2"/>
  <c r="AF411" i="2"/>
  <c r="AE401" i="2"/>
  <c r="AA408" i="2"/>
  <c r="AD392" i="2"/>
  <c r="AG477" i="2"/>
  <c r="AG424" i="2"/>
  <c r="AG184" i="2"/>
  <c r="AD430" i="2"/>
  <c r="AC438" i="2"/>
  <c r="AC397" i="2"/>
  <c r="AF345" i="2"/>
  <c r="AC408" i="2"/>
  <c r="AF346" i="2"/>
  <c r="AE327" i="2"/>
  <c r="AD482" i="2"/>
  <c r="AA294" i="2"/>
  <c r="AB401" i="2"/>
  <c r="AA393" i="2"/>
  <c r="AF421" i="2"/>
  <c r="AA474" i="2"/>
  <c r="AF454" i="2"/>
  <c r="AF386" i="2"/>
  <c r="AA326" i="2"/>
  <c r="AC98" i="2"/>
  <c r="AD477" i="2"/>
  <c r="AD469" i="2"/>
  <c r="AC313" i="2"/>
  <c r="AF470" i="2"/>
  <c r="AA387" i="2"/>
  <c r="AA264" i="2"/>
  <c r="AF264" i="2"/>
  <c r="AG294" i="2"/>
  <c r="AE470" i="2"/>
  <c r="AA433" i="2"/>
  <c r="AB359" i="2"/>
  <c r="AG472" i="2"/>
  <c r="AC462" i="2"/>
  <c r="AF422" i="2"/>
  <c r="AA420" i="2"/>
  <c r="AG383" i="2"/>
  <c r="AG405" i="2"/>
  <c r="AB346" i="2"/>
  <c r="AF396" i="2"/>
  <c r="AE472" i="2"/>
  <c r="AG403" i="2"/>
  <c r="AC474" i="2"/>
  <c r="AG320" i="2"/>
  <c r="AG420" i="2"/>
  <c r="AA373" i="2"/>
  <c r="AF401" i="2"/>
  <c r="AD471" i="2"/>
  <c r="AB316" i="2"/>
  <c r="AD382" i="2"/>
  <c r="AF259" i="2"/>
  <c r="AA36" i="2"/>
  <c r="AG101" i="2"/>
  <c r="AE235" i="2"/>
  <c r="AA369" i="2"/>
  <c r="AE459" i="2"/>
  <c r="AG361" i="2"/>
  <c r="AF418" i="2"/>
  <c r="AE420" i="2"/>
  <c r="AG375" i="2"/>
  <c r="E313" i="5"/>
  <c r="AC359" i="2"/>
  <c r="AG442" i="2"/>
  <c r="AF475" i="2"/>
  <c r="AD432" i="2"/>
  <c r="AG425" i="2"/>
  <c r="AF397" i="2"/>
  <c r="AE442" i="2"/>
  <c r="AC410" i="2"/>
  <c r="AE385" i="2"/>
  <c r="AE250" i="2"/>
  <c r="AD213" i="2"/>
  <c r="AG330" i="2"/>
  <c r="AD395" i="2"/>
  <c r="AE157" i="2"/>
  <c r="AE335" i="2"/>
  <c r="AG371" i="2"/>
  <c r="AG432" i="2"/>
  <c r="AD257" i="2"/>
  <c r="AF464" i="2"/>
  <c r="AB422" i="2"/>
  <c r="AF212" i="2"/>
  <c r="AE387" i="2"/>
  <c r="AG144" i="2"/>
  <c r="AA247" i="2"/>
  <c r="AF367" i="2"/>
  <c r="AB427" i="2"/>
  <c r="AE419" i="2"/>
  <c r="AG200" i="2"/>
  <c r="AF415" i="2"/>
  <c r="AF298" i="2"/>
  <c r="AC383" i="2"/>
  <c r="AB153" i="2"/>
  <c r="AF314" i="2"/>
  <c r="AA254" i="2"/>
  <c r="AE223" i="2"/>
  <c r="AD438" i="2"/>
  <c r="AC305" i="2"/>
  <c r="AB399" i="2"/>
  <c r="AC244" i="2"/>
  <c r="AB307" i="2"/>
  <c r="AD388" i="2"/>
  <c r="AF449" i="2"/>
  <c r="AD87" i="2"/>
  <c r="E460" i="5"/>
  <c r="AG452" i="2"/>
  <c r="AF466" i="2"/>
  <c r="AG262" i="2"/>
  <c r="AF169" i="2"/>
  <c r="AD186" i="2"/>
  <c r="AG451" i="2"/>
  <c r="AF361" i="2"/>
  <c r="AG406" i="2"/>
  <c r="AG414" i="2"/>
  <c r="AG352" i="2"/>
  <c r="AA274" i="2"/>
  <c r="AC276" i="2"/>
  <c r="AG159" i="2"/>
  <c r="AB119" i="2"/>
  <c r="AG248" i="2"/>
  <c r="AB36" i="2"/>
  <c r="AG283" i="2"/>
  <c r="AA275" i="2"/>
  <c r="AB475" i="2"/>
  <c r="AB39" i="2"/>
  <c r="AD476" i="2"/>
  <c r="AE411" i="2"/>
  <c r="AA396" i="2"/>
  <c r="AF419" i="2"/>
  <c r="AD431" i="2"/>
  <c r="AA303" i="2"/>
  <c r="AB426" i="2"/>
  <c r="AF473" i="2"/>
  <c r="AG386" i="2"/>
  <c r="AE469" i="2"/>
  <c r="AC464" i="2"/>
  <c r="AA441" i="2"/>
  <c r="AA330" i="2"/>
  <c r="AB196" i="2"/>
  <c r="AB419" i="2"/>
  <c r="AE92" i="2"/>
  <c r="AF433" i="2"/>
  <c r="AD356" i="2"/>
  <c r="AE425" i="2"/>
  <c r="AG471" i="2"/>
  <c r="AE478" i="2"/>
  <c r="AA449" i="2"/>
  <c r="AG162" i="2"/>
  <c r="AF56" i="2"/>
  <c r="AC443" i="2"/>
  <c r="AC416" i="2"/>
  <c r="AD371" i="2"/>
  <c r="AG437" i="2"/>
  <c r="AC446" i="2"/>
  <c r="AC220" i="2"/>
  <c r="AC41" i="2"/>
  <c r="AE155" i="2"/>
  <c r="AC355" i="2"/>
  <c r="AG343" i="2"/>
  <c r="AA357" i="2"/>
  <c r="AC428" i="2"/>
  <c r="AB458" i="2"/>
  <c r="AG458" i="2"/>
  <c r="AD362" i="2"/>
  <c r="AB348" i="2"/>
  <c r="AB417" i="2"/>
  <c r="AC419" i="2"/>
  <c r="AF467" i="2"/>
  <c r="AF354" i="2"/>
  <c r="AD399" i="2"/>
  <c r="AC447" i="2"/>
  <c r="AD427" i="2"/>
  <c r="AG417" i="2"/>
  <c r="AA454" i="2"/>
  <c r="AD423" i="2"/>
  <c r="AE380" i="2"/>
  <c r="AC221" i="2"/>
  <c r="AD135" i="2"/>
  <c r="AA346" i="2"/>
  <c r="AB133" i="2"/>
  <c r="AB265" i="2"/>
  <c r="AE242" i="2"/>
  <c r="AE262" i="2"/>
  <c r="AA337" i="2"/>
  <c r="AA348" i="2"/>
  <c r="AB394" i="2"/>
  <c r="AD294" i="2"/>
  <c r="AF373" i="2"/>
  <c r="AE56" i="2"/>
  <c r="AG402" i="2"/>
  <c r="AG481" i="2"/>
  <c r="AA290" i="2"/>
  <c r="AA202" i="2"/>
  <c r="AF471" i="2"/>
  <c r="AC280" i="2"/>
  <c r="AG412" i="2"/>
  <c r="AA371" i="2"/>
  <c r="AE431" i="2"/>
  <c r="AD437" i="2"/>
  <c r="AF105" i="2"/>
  <c r="AE37" i="2"/>
  <c r="AA457" i="2"/>
  <c r="AF458" i="2"/>
  <c r="AD123" i="2"/>
  <c r="AG207" i="2"/>
  <c r="AC394" i="2"/>
  <c r="AE457" i="2"/>
  <c r="AC424" i="2"/>
  <c r="AD445" i="2"/>
  <c r="AA461" i="2"/>
  <c r="AF319" i="2"/>
  <c r="AD474" i="2"/>
  <c r="AG404" i="2"/>
  <c r="AC380" i="2"/>
  <c r="AD169" i="2"/>
  <c r="AB288" i="2"/>
  <c r="AF41" i="2"/>
  <c r="AG289" i="2"/>
  <c r="AD245" i="2"/>
  <c r="AE241" i="2"/>
  <c r="AA356" i="2"/>
  <c r="AA439" i="2"/>
  <c r="AC250" i="2"/>
  <c r="AE471" i="2"/>
  <c r="AG253" i="2"/>
  <c r="AD443" i="2"/>
  <c r="AG391" i="2"/>
  <c r="AD420" i="2"/>
  <c r="AA320" i="2"/>
  <c r="AF279" i="2"/>
  <c r="AF428" i="2"/>
  <c r="AF89" i="2"/>
  <c r="E467" i="5"/>
  <c r="AA298" i="2"/>
  <c r="AG335" i="2"/>
  <c r="AB466" i="2"/>
  <c r="AA458" i="2"/>
  <c r="AB393" i="2"/>
  <c r="AC382" i="2"/>
  <c r="AB347" i="2"/>
  <c r="AD456" i="2"/>
  <c r="AA397" i="2"/>
  <c r="AD155" i="2"/>
  <c r="AB303" i="2"/>
  <c r="AD470" i="2"/>
  <c r="AA289" i="2"/>
  <c r="AE394" i="2"/>
  <c r="AG249" i="2"/>
  <c r="AA104" i="2"/>
  <c r="E106" i="5"/>
  <c r="AB411" i="2"/>
  <c r="AF146" i="2"/>
  <c r="AE96" i="2"/>
  <c r="AC448" i="2"/>
  <c r="AD365" i="2"/>
  <c r="AA383" i="2"/>
  <c r="AC409" i="2"/>
  <c r="AG85" i="2"/>
  <c r="AD360" i="2"/>
  <c r="AC381" i="2"/>
  <c r="AF435" i="2"/>
  <c r="AD452" i="2"/>
  <c r="AF369" i="2"/>
  <c r="AD334" i="2"/>
  <c r="AC339" i="2"/>
  <c r="AF271" i="2"/>
  <c r="AG277" i="2"/>
  <c r="AA359" i="2"/>
  <c r="AB297" i="2"/>
  <c r="AD435" i="2"/>
  <c r="AE482" i="2"/>
  <c r="AB423" i="2"/>
  <c r="AA117" i="2"/>
  <c r="AD55" i="2"/>
  <c r="AD428" i="2"/>
  <c r="AC414" i="2"/>
  <c r="AE433" i="2"/>
  <c r="AE392" i="2"/>
  <c r="AC432" i="2"/>
  <c r="AG233" i="2"/>
  <c r="AG337" i="2"/>
  <c r="AE314" i="2"/>
  <c r="AD347" i="2"/>
  <c r="AE378" i="2"/>
  <c r="AA480" i="2"/>
  <c r="AA432" i="2"/>
  <c r="AE175" i="2"/>
  <c r="AA469" i="2"/>
  <c r="AE58" i="2"/>
  <c r="AA250" i="2"/>
  <c r="AE375" i="2"/>
  <c r="AC476" i="2"/>
  <c r="AG138" i="2"/>
  <c r="AB344" i="2"/>
  <c r="AD163" i="2"/>
  <c r="AF117" i="2"/>
  <c r="AC386" i="2"/>
  <c r="AC35" i="2"/>
  <c r="B299" i="5"/>
  <c r="AF393" i="2"/>
  <c r="AB79" i="2"/>
  <c r="AD35" i="2"/>
  <c r="AD84" i="2"/>
  <c r="AD447" i="2"/>
  <c r="AC39" i="2"/>
  <c r="AE148" i="2"/>
  <c r="AB445" i="2"/>
  <c r="AD39" i="2"/>
  <c r="AB361" i="2"/>
  <c r="AB290" i="2"/>
  <c r="B223" i="5"/>
  <c r="AD133" i="2"/>
  <c r="E205" i="5"/>
  <c r="E91" i="5"/>
  <c r="AG441" i="2"/>
  <c r="AG460" i="2"/>
  <c r="B493" i="5"/>
  <c r="AG95" i="2"/>
  <c r="AG94" i="2"/>
  <c r="AE463" i="2"/>
  <c r="AA122" i="2"/>
  <c r="AD364" i="2"/>
  <c r="AB313" i="2"/>
  <c r="AE436" i="2"/>
  <c r="AF255" i="2"/>
  <c r="AA46" i="2"/>
  <c r="AG293" i="2"/>
  <c r="AC470" i="2"/>
  <c r="AC421" i="2"/>
  <c r="AE480" i="2"/>
  <c r="AC268" i="2"/>
  <c r="AG254" i="2"/>
  <c r="AG288" i="2"/>
  <c r="AC371" i="2"/>
  <c r="AG153" i="2"/>
  <c r="AF380" i="2"/>
  <c r="AA452" i="2"/>
  <c r="AG143" i="2"/>
  <c r="AB273" i="2"/>
  <c r="AF253" i="2"/>
  <c r="AA401" i="2"/>
  <c r="AE453" i="2"/>
  <c r="AG429" i="2"/>
  <c r="AE359" i="2"/>
  <c r="AC457" i="2"/>
  <c r="AA319" i="2"/>
  <c r="AD426" i="2"/>
  <c r="E465" i="5"/>
  <c r="AF405" i="2"/>
  <c r="AB319" i="2"/>
  <c r="AB435" i="2"/>
  <c r="AG328" i="2"/>
  <c r="AD451" i="2"/>
  <c r="AF246" i="2"/>
  <c r="AB96" i="2"/>
  <c r="AF69" i="2"/>
  <c r="AE124" i="2"/>
  <c r="E154" i="5"/>
  <c r="AF174" i="2"/>
  <c r="AD270" i="2"/>
  <c r="AA69" i="2"/>
  <c r="B238" i="5"/>
  <c r="AE477" i="2"/>
  <c r="AE258" i="2"/>
  <c r="AA455" i="2"/>
  <c r="AG247" i="2"/>
  <c r="AD479" i="2"/>
  <c r="AB413" i="2"/>
  <c r="AF329" i="2"/>
  <c r="AC261" i="2"/>
  <c r="AE160" i="2"/>
  <c r="AB334" i="2"/>
  <c r="AF480" i="2"/>
  <c r="AG372" i="2"/>
  <c r="AA38" i="2"/>
  <c r="AE249" i="2"/>
  <c r="E212" i="5"/>
  <c r="AB120" i="2"/>
  <c r="AB420" i="2"/>
  <c r="AF413" i="2"/>
  <c r="AD189" i="2"/>
  <c r="AD375" i="2"/>
  <c r="AE324" i="2"/>
  <c r="AD34" i="2"/>
  <c r="AB472" i="2"/>
  <c r="AD198" i="2"/>
  <c r="AA245" i="2"/>
  <c r="AA237" i="2"/>
  <c r="AG99" i="2"/>
  <c r="E124" i="5"/>
  <c r="AB446" i="2"/>
  <c r="AB380" i="2"/>
  <c r="AD472" i="2"/>
  <c r="AC70" i="2"/>
  <c r="AB291" i="2"/>
  <c r="AB102" i="2"/>
  <c r="AA255" i="2"/>
  <c r="AA221" i="2"/>
  <c r="AE74" i="2"/>
  <c r="AC71" i="2"/>
  <c r="E48" i="5"/>
  <c r="AE136" i="2"/>
  <c r="AF72" i="2"/>
  <c r="AD303" i="2"/>
  <c r="AG118" i="2"/>
  <c r="E51" i="5"/>
  <c r="AG357" i="2"/>
  <c r="AC360" i="2"/>
  <c r="AD473" i="2"/>
  <c r="AA191" i="2"/>
  <c r="AD326" i="2"/>
  <c r="AD260" i="2"/>
  <c r="AF364" i="2"/>
  <c r="AA347" i="2"/>
  <c r="AG396" i="2"/>
  <c r="AE451" i="2"/>
  <c r="AB403" i="2"/>
  <c r="AC458" i="2"/>
  <c r="AE291" i="2"/>
  <c r="AA466" i="2"/>
  <c r="AF377" i="2"/>
  <c r="AF462" i="2"/>
  <c r="AD289" i="2"/>
  <c r="AE284" i="2"/>
  <c r="AG419" i="2"/>
  <c r="AF183" i="2"/>
  <c r="AD455" i="2"/>
  <c r="AA380" i="2"/>
  <c r="AB434" i="2"/>
  <c r="AD381" i="2"/>
  <c r="AB320" i="2"/>
  <c r="AA83" i="2"/>
  <c r="AD147" i="2"/>
  <c r="AG220" i="2"/>
  <c r="AB110" i="2"/>
  <c r="AF390" i="2"/>
  <c r="AA453" i="2"/>
  <c r="AA314" i="2"/>
  <c r="AG453" i="2"/>
  <c r="AC478" i="2"/>
  <c r="AF296" i="2"/>
  <c r="AC192" i="2"/>
  <c r="AD446" i="2"/>
  <c r="AA366" i="2"/>
  <c r="AC275" i="2"/>
  <c r="AC308" i="2"/>
  <c r="B504" i="5"/>
  <c r="AB259" i="2"/>
  <c r="AC323" i="2"/>
  <c r="AA316" i="2"/>
  <c r="AF324" i="2"/>
  <c r="AB437" i="2"/>
  <c r="AG377" i="2"/>
  <c r="AC449" i="2"/>
  <c r="AF437" i="2"/>
  <c r="AD366" i="2"/>
  <c r="AB251" i="2"/>
  <c r="AF426" i="2"/>
  <c r="AE269" i="2"/>
  <c r="AB337" i="2"/>
  <c r="AA403" i="2"/>
  <c r="AE293" i="2"/>
  <c r="AD323" i="2"/>
  <c r="E29" i="5"/>
  <c r="AB373" i="2"/>
  <c r="AG382" i="2"/>
  <c r="AB308" i="2"/>
  <c r="AB465" i="2"/>
  <c r="AC131" i="2"/>
  <c r="AC111" i="2"/>
  <c r="AC422" i="2"/>
  <c r="AA128" i="2"/>
  <c r="AA280" i="2"/>
  <c r="AG219" i="2"/>
  <c r="AA240" i="2"/>
  <c r="AE104" i="2"/>
  <c r="AG230" i="2"/>
  <c r="AG301" i="2"/>
  <c r="AC479" i="2"/>
  <c r="AG264" i="2"/>
  <c r="AD308" i="2"/>
  <c r="AB89" i="2"/>
  <c r="AE403" i="2"/>
  <c r="AB353" i="2"/>
  <c r="AA61" i="2"/>
  <c r="AE135" i="2"/>
  <c r="AF371" i="2"/>
  <c r="AC167" i="2"/>
  <c r="AG308" i="2"/>
  <c r="AF223" i="2"/>
  <c r="AF172" i="2"/>
  <c r="E231" i="5"/>
  <c r="B229" i="5"/>
  <c r="AE290" i="2"/>
  <c r="AG369" i="2"/>
  <c r="AG196" i="2"/>
  <c r="AE330" i="2"/>
  <c r="AF49" i="2"/>
  <c r="AA267" i="2"/>
  <c r="AD310" i="2"/>
  <c r="AB263" i="2"/>
  <c r="E497" i="5"/>
  <c r="AG457" i="2"/>
  <c r="AF275" i="2"/>
  <c r="AG479" i="2"/>
  <c r="AB306" i="2"/>
  <c r="AF448" i="2"/>
  <c r="AF252" i="2"/>
  <c r="AC480" i="2"/>
  <c r="AG466" i="2"/>
  <c r="AG456" i="2"/>
  <c r="AE465" i="2"/>
  <c r="AA473" i="2"/>
  <c r="AB243" i="2"/>
  <c r="AC347" i="2"/>
  <c r="AB146" i="2"/>
  <c r="AF90" i="2"/>
  <c r="AD328" i="2"/>
  <c r="B399" i="5"/>
  <c r="AG394" i="2"/>
  <c r="AB436" i="2"/>
  <c r="AF306" i="2"/>
  <c r="AB240" i="2"/>
  <c r="AA76" i="2"/>
  <c r="AD51" i="2"/>
  <c r="AC252" i="2"/>
  <c r="AD218" i="2"/>
  <c r="AF394" i="2"/>
  <c r="AC146" i="2"/>
  <c r="AE273" i="2"/>
  <c r="AG194" i="2"/>
  <c r="AD415" i="2"/>
  <c r="AA451" i="2"/>
  <c r="AD359" i="2"/>
  <c r="E120" i="5"/>
  <c r="AA223" i="2"/>
  <c r="AG132" i="2"/>
  <c r="AC341" i="2"/>
  <c r="AA398" i="2"/>
  <c r="AB324" i="2"/>
  <c r="AD69" i="2"/>
  <c r="E197" i="5"/>
  <c r="AD373" i="2"/>
  <c r="AD54" i="2"/>
  <c r="AA201" i="2"/>
  <c r="AE151" i="2"/>
  <c r="AC286" i="2"/>
  <c r="AC429" i="2"/>
  <c r="AE285" i="2"/>
  <c r="AB433" i="2"/>
  <c r="AA343" i="2"/>
  <c r="AE84" i="2"/>
  <c r="B163" i="5"/>
  <c r="AD411" i="2"/>
  <c r="AD40" i="2"/>
  <c r="AB455" i="2"/>
  <c r="AA251" i="2"/>
  <c r="AE357" i="2"/>
  <c r="AC251" i="2"/>
  <c r="AG38" i="2"/>
  <c r="E498" i="5"/>
  <c r="AA155" i="2"/>
  <c r="AC343" i="2"/>
  <c r="AG370" i="2"/>
  <c r="AC388" i="2"/>
  <c r="AF412" i="2"/>
  <c r="AD450" i="2"/>
  <c r="AE261" i="2"/>
  <c r="AB301" i="2"/>
  <c r="AB31" i="2"/>
  <c r="AC367" i="2"/>
  <c r="AA133" i="2"/>
  <c r="AG267" i="2"/>
  <c r="AE468" i="2"/>
  <c r="AD409" i="2"/>
  <c r="AE91" i="2"/>
  <c r="AE300" i="2"/>
  <c r="AF280" i="2"/>
  <c r="AB456" i="2"/>
  <c r="AC130" i="2"/>
  <c r="AB326" i="2"/>
  <c r="AG423" i="2"/>
  <c r="AF472" i="2"/>
  <c r="AC402" i="2"/>
  <c r="AD346" i="2"/>
  <c r="AG444" i="2"/>
  <c r="AD384" i="2"/>
  <c r="AD372" i="2"/>
  <c r="AC403" i="2"/>
  <c r="AG110" i="2"/>
  <c r="AG228" i="2"/>
  <c r="AG91" i="2"/>
  <c r="AF128" i="2"/>
  <c r="AA411" i="2"/>
  <c r="AG362" i="2"/>
  <c r="AC271" i="2"/>
  <c r="AC417" i="2"/>
  <c r="AA132" i="2"/>
  <c r="AC320" i="2"/>
  <c r="B523" i="5"/>
  <c r="AB270" i="2"/>
  <c r="AA172" i="2"/>
  <c r="AE278" i="2"/>
  <c r="AA293" i="2"/>
  <c r="AB477" i="2"/>
  <c r="AC352" i="2"/>
  <c r="AG306" i="2"/>
  <c r="AB431" i="2"/>
  <c r="AG142" i="2"/>
  <c r="AD145" i="2"/>
  <c r="AB277" i="2"/>
  <c r="E216" i="5"/>
  <c r="AD258" i="2"/>
  <c r="AF398" i="2"/>
  <c r="AB256" i="2"/>
  <c r="AG273" i="2"/>
  <c r="B434" i="5"/>
  <c r="E515" i="5"/>
  <c r="AD304" i="2"/>
  <c r="E139" i="5"/>
  <c r="B343" i="5"/>
  <c r="AG376" i="2"/>
  <c r="AB349" i="2"/>
  <c r="AA436" i="2"/>
  <c r="AB138" i="2"/>
  <c r="AA59" i="2"/>
  <c r="AA244" i="2"/>
  <c r="AD187" i="2"/>
  <c r="AC210" i="2"/>
  <c r="AC456" i="2"/>
  <c r="AA231" i="2"/>
  <c r="AC363" i="2"/>
  <c r="AA363" i="2"/>
  <c r="AE441" i="2"/>
  <c r="AG284" i="2"/>
  <c r="AE466" i="2"/>
  <c r="AF461" i="2"/>
  <c r="AA370" i="2"/>
  <c r="AB480" i="2"/>
  <c r="AF334" i="2"/>
  <c r="AG98" i="2"/>
  <c r="AG139" i="2"/>
  <c r="AD412" i="2"/>
  <c r="AA309" i="2"/>
  <c r="AG438" i="2"/>
  <c r="AB354" i="2"/>
  <c r="AA459" i="2"/>
  <c r="AF157" i="2"/>
  <c r="AD419" i="2"/>
  <c r="AA96" i="2"/>
  <c r="AB63" i="2"/>
  <c r="AF161" i="2"/>
  <c r="AC401" i="2"/>
  <c r="AG119" i="2"/>
  <c r="AD439" i="2"/>
  <c r="AF375" i="2"/>
  <c r="AB174" i="2"/>
  <c r="AD79" i="2"/>
  <c r="AE326" i="2"/>
  <c r="AA355" i="2"/>
  <c r="AD128" i="2"/>
  <c r="E426" i="5"/>
  <c r="AC68" i="2"/>
  <c r="AD153" i="2"/>
  <c r="B47" i="5"/>
  <c r="AE162" i="2"/>
  <c r="AE362" i="2"/>
  <c r="AF92" i="2"/>
  <c r="B123" i="5"/>
  <c r="B49" i="5"/>
  <c r="B110" i="5"/>
  <c r="AF315" i="2"/>
  <c r="B377" i="5"/>
  <c r="B136" i="5"/>
  <c r="AA351" i="2"/>
  <c r="AB305" i="2"/>
  <c r="AG347" i="2"/>
  <c r="AG384" i="2"/>
  <c r="AF288" i="2"/>
  <c r="AE454" i="2"/>
  <c r="AF138" i="2"/>
  <c r="B138" i="5"/>
  <c r="B354" i="5"/>
  <c r="AF30" i="2"/>
  <c r="AF400" i="2"/>
  <c r="AC243" i="2"/>
  <c r="AF131" i="2"/>
  <c r="E47" i="5"/>
  <c r="AE282" i="2"/>
  <c r="AD108" i="2"/>
  <c r="AE120" i="2"/>
  <c r="AA68" i="2"/>
  <c r="AE85" i="2"/>
  <c r="B438" i="5"/>
  <c r="AC32" i="2"/>
  <c r="AG67" i="2"/>
  <c r="AG171" i="2"/>
  <c r="AG39" i="2"/>
  <c r="AC306" i="2"/>
  <c r="AE399" i="2"/>
  <c r="AE41" i="2"/>
  <c r="AF150" i="2"/>
  <c r="AC196" i="2"/>
  <c r="AC172" i="2"/>
  <c r="AB408" i="2"/>
  <c r="B250" i="5"/>
  <c r="B351" i="5"/>
  <c r="B207" i="5"/>
  <c r="AA118" i="2"/>
  <c r="E249" i="5"/>
  <c r="AF42" i="2"/>
  <c r="AG427" i="2"/>
  <c r="AC178" i="2"/>
  <c r="AB474" i="2"/>
  <c r="AD449" i="2"/>
  <c r="AB440" i="2"/>
  <c r="AG401" i="2"/>
  <c r="AE435" i="2"/>
  <c r="AE447" i="2"/>
  <c r="AE119" i="2"/>
  <c r="AC321" i="2"/>
  <c r="AB449" i="2"/>
  <c r="AD377" i="2"/>
  <c r="AD440" i="2"/>
  <c r="AC465" i="2"/>
  <c r="AG462" i="2"/>
  <c r="AA400" i="2"/>
  <c r="AB441" i="2"/>
  <c r="AF221" i="2"/>
  <c r="AB142" i="2"/>
  <c r="AA301" i="2"/>
  <c r="AF479" i="2"/>
  <c r="AB187" i="2"/>
  <c r="AB228" i="2"/>
  <c r="AC183" i="2"/>
  <c r="AE251" i="2"/>
  <c r="AD30" i="2"/>
  <c r="AC396" i="2"/>
  <c r="AE127" i="2"/>
  <c r="B162" i="5"/>
  <c r="B489" i="5"/>
  <c r="AE61" i="2"/>
  <c r="AF356" i="2"/>
  <c r="AG174" i="2"/>
  <c r="AG66" i="2"/>
  <c r="AA72" i="2"/>
  <c r="E429" i="5"/>
  <c r="AF115" i="2"/>
  <c r="AA475" i="2"/>
  <c r="AG37" i="2"/>
  <c r="AD241" i="2"/>
  <c r="E74" i="5"/>
  <c r="AA184" i="2"/>
  <c r="AG197" i="2"/>
  <c r="AG166" i="2"/>
  <c r="AE271" i="2"/>
  <c r="AG464" i="2"/>
  <c r="AE144" i="2"/>
  <c r="AB389" i="2"/>
  <c r="AE475" i="2"/>
  <c r="AF404" i="2"/>
  <c r="AF403" i="2"/>
  <c r="AE464" i="2"/>
  <c r="AA476" i="2"/>
  <c r="AB82" i="2"/>
  <c r="AA111" i="2"/>
  <c r="AG350" i="2"/>
  <c r="AC372" i="2"/>
  <c r="E362" i="5"/>
  <c r="AF310" i="2"/>
  <c r="AE69" i="2"/>
  <c r="AC336" i="2"/>
  <c r="AA152" i="2"/>
  <c r="AC453" i="2"/>
  <c r="AA175" i="2"/>
  <c r="AC262" i="2"/>
  <c r="AC253" i="2"/>
  <c r="AG168" i="2"/>
  <c r="AB116" i="2"/>
  <c r="AF84" i="2"/>
  <c r="AA388" i="2"/>
  <c r="AF88" i="2"/>
  <c r="AC193" i="2"/>
  <c r="AG82" i="2"/>
  <c r="AG282" i="2"/>
  <c r="AE220" i="2"/>
  <c r="B378" i="5"/>
  <c r="B98" i="5"/>
  <c r="AC184" i="2"/>
  <c r="AD214" i="2"/>
  <c r="AB327" i="2"/>
  <c r="E388" i="5"/>
  <c r="AE114" i="2"/>
  <c r="AB127" i="2"/>
  <c r="B84" i="5"/>
  <c r="E519" i="5"/>
  <c r="B51" i="5"/>
  <c r="AA269" i="2"/>
  <c r="E355" i="5"/>
  <c r="AE444" i="2"/>
  <c r="AC379" i="2"/>
  <c r="AB481" i="2"/>
  <c r="AB97" i="2"/>
  <c r="AG313" i="2"/>
  <c r="AA446" i="2"/>
  <c r="AC399" i="2"/>
  <c r="AF452" i="2"/>
  <c r="AE53" i="2"/>
  <c r="AE207" i="2"/>
  <c r="AF133" i="2"/>
  <c r="AA246" i="2"/>
  <c r="AF417" i="2"/>
  <c r="AA342" i="2"/>
  <c r="AB224" i="2"/>
  <c r="AB81" i="2"/>
  <c r="AE434" i="2"/>
  <c r="E226" i="5"/>
  <c r="AD249" i="2"/>
  <c r="AF352" i="2"/>
  <c r="AG131" i="2"/>
  <c r="AD292" i="2"/>
  <c r="E128" i="5"/>
  <c r="E396" i="5"/>
  <c r="B316" i="5"/>
  <c r="AA106" i="2"/>
  <c r="AE410" i="2"/>
  <c r="AB396" i="2"/>
  <c r="AA82" i="2"/>
  <c r="AE185" i="2"/>
  <c r="AF257" i="2"/>
  <c r="E401" i="5"/>
  <c r="B212" i="5"/>
  <c r="AF230" i="2"/>
  <c r="AE132" i="2"/>
  <c r="AA70" i="2"/>
  <c r="AC357" i="2"/>
  <c r="AB471" i="2"/>
  <c r="AF61" i="2"/>
  <c r="B321" i="5"/>
  <c r="B524" i="5"/>
  <c r="AD380" i="2"/>
  <c r="AC333" i="2"/>
  <c r="AC411" i="2"/>
  <c r="AA405" i="2"/>
  <c r="AB350" i="2"/>
  <c r="AG149" i="2"/>
  <c r="AG256" i="2"/>
  <c r="AG178" i="2"/>
  <c r="AE421" i="2"/>
  <c r="AE437" i="2"/>
  <c r="AE440" i="2"/>
  <c r="AA248" i="2"/>
  <c r="AC328" i="2"/>
  <c r="AD433" i="2"/>
  <c r="AG193" i="2"/>
  <c r="AF149" i="2"/>
  <c r="AB210" i="2"/>
  <c r="B461" i="5"/>
  <c r="AG366" i="2"/>
  <c r="AF307" i="2"/>
  <c r="AC54" i="2"/>
  <c r="AD321" i="2"/>
  <c r="AG155" i="2"/>
  <c r="E325" i="5"/>
  <c r="AD404" i="2"/>
  <c r="AE298" i="2"/>
  <c r="AE474" i="2"/>
  <c r="AD301" i="2"/>
  <c r="AA178" i="2"/>
  <c r="E27" i="5"/>
  <c r="AD200" i="2"/>
  <c r="B396" i="5"/>
  <c r="AD376" i="2"/>
  <c r="AA95" i="2"/>
  <c r="AD111" i="2"/>
  <c r="AG287" i="2"/>
  <c r="E60" i="5"/>
  <c r="AB66" i="2"/>
  <c r="AA402" i="2"/>
  <c r="AC291" i="2"/>
  <c r="AE167" i="2"/>
  <c r="AB219" i="2"/>
  <c r="E397" i="5"/>
  <c r="B44" i="5"/>
  <c r="AF460" i="2"/>
  <c r="AC123" i="2"/>
  <c r="E204" i="5"/>
  <c r="AB84" i="2"/>
  <c r="AG446" i="2"/>
  <c r="AB442" i="2"/>
  <c r="AF245" i="2"/>
  <c r="AG175" i="2"/>
  <c r="AD318" i="2"/>
  <c r="AF440" i="2"/>
  <c r="AE458" i="2"/>
  <c r="AE417" i="2"/>
  <c r="AG415" i="2"/>
  <c r="AB429" i="2"/>
  <c r="AE329" i="2"/>
  <c r="AF200" i="2"/>
  <c r="AF469" i="2"/>
  <c r="AA462" i="2"/>
  <c r="AG182" i="2"/>
  <c r="AD164" i="2"/>
  <c r="AF365" i="2"/>
  <c r="AB390" i="2"/>
  <c r="AF55" i="2"/>
  <c r="AA328" i="2"/>
  <c r="E84" i="5"/>
  <c r="AC469" i="2"/>
  <c r="AC361" i="2"/>
  <c r="AF442" i="2"/>
  <c r="AD391" i="2"/>
  <c r="AA148" i="2"/>
  <c r="AG83" i="2"/>
  <c r="AB275" i="2"/>
  <c r="E199" i="5"/>
  <c r="AE89" i="2"/>
  <c r="AE347" i="2"/>
  <c r="AA399" i="2"/>
  <c r="AD374" i="2"/>
  <c r="AD267" i="2"/>
  <c r="AC171" i="2"/>
  <c r="AC370" i="2"/>
  <c r="AE382" i="2"/>
  <c r="AD76" i="2"/>
  <c r="AC38" i="2"/>
  <c r="AC120" i="2"/>
  <c r="B235" i="5"/>
  <c r="AD315" i="2"/>
  <c r="AD460" i="2"/>
  <c r="AB338" i="2"/>
  <c r="AD148" i="2"/>
  <c r="AD175" i="2"/>
  <c r="AG216" i="2"/>
  <c r="AG416" i="2"/>
  <c r="AD298" i="2"/>
  <c r="AF93" i="2"/>
  <c r="AF242" i="2"/>
  <c r="AA325" i="2"/>
  <c r="AD389" i="2"/>
  <c r="E478" i="5"/>
  <c r="AC133" i="2"/>
  <c r="AG268" i="2"/>
  <c r="AD329" i="2"/>
  <c r="AE341" i="2"/>
  <c r="AB121" i="2"/>
  <c r="AC51" i="2"/>
  <c r="AA225" i="2"/>
  <c r="E63" i="5"/>
  <c r="E244" i="5"/>
  <c r="AC217" i="2"/>
  <c r="AB235" i="2"/>
  <c r="AG250" i="2"/>
  <c r="AA429" i="2"/>
  <c r="AB469" i="2"/>
  <c r="AC481" i="2"/>
  <c r="AD369" i="2"/>
  <c r="AB453" i="2"/>
  <c r="AE145" i="2"/>
  <c r="AE192" i="2"/>
  <c r="AE103" i="2"/>
  <c r="AG418" i="2"/>
  <c r="AB59" i="2"/>
  <c r="AG265" i="2"/>
  <c r="AG117" i="2"/>
  <c r="E93" i="5"/>
  <c r="AE288" i="2"/>
  <c r="B173" i="5"/>
  <c r="AE203" i="2"/>
  <c r="B37" i="5"/>
  <c r="E477" i="5"/>
  <c r="E524" i="5"/>
  <c r="AC56" i="2"/>
  <c r="AG436" i="2"/>
  <c r="AA385" i="2"/>
  <c r="AG147" i="2"/>
  <c r="B401" i="5"/>
  <c r="AD383" i="2"/>
  <c r="AB322" i="2"/>
  <c r="AB157" i="2"/>
  <c r="AG90" i="2"/>
  <c r="AB438" i="2"/>
  <c r="AA112" i="2"/>
  <c r="AC59" i="2"/>
  <c r="AE395" i="2"/>
  <c r="AG312" i="2"/>
  <c r="AE426" i="2"/>
  <c r="AG192" i="2"/>
  <c r="AE460" i="2"/>
  <c r="AD457" i="2"/>
  <c r="AC395" i="2"/>
  <c r="AA116" i="2"/>
  <c r="AC415" i="2"/>
  <c r="AC189" i="2"/>
  <c r="AG349" i="2"/>
  <c r="AD309" i="2"/>
  <c r="AE190" i="2"/>
  <c r="AE65" i="2"/>
  <c r="AA210" i="2"/>
  <c r="AE254" i="2"/>
  <c r="AF312" i="2"/>
  <c r="AF434" i="2"/>
  <c r="AB167" i="2"/>
  <c r="E311" i="5"/>
  <c r="AA137" i="2"/>
  <c r="AE171" i="2"/>
  <c r="AE77" i="2"/>
  <c r="E523" i="5"/>
  <c r="AG359" i="2"/>
  <c r="AF110" i="2"/>
  <c r="AG86" i="2"/>
  <c r="B107" i="5"/>
  <c r="AG392" i="2"/>
  <c r="AG269" i="2"/>
  <c r="AC90" i="2"/>
  <c r="AD190" i="2"/>
  <c r="AG65" i="2"/>
  <c r="AC112" i="2"/>
  <c r="B53" i="5"/>
  <c r="AC289" i="2"/>
  <c r="E195" i="5"/>
  <c r="AD333" i="2"/>
  <c r="AG251" i="2"/>
  <c r="AF443" i="2"/>
  <c r="AE321" i="2"/>
  <c r="AG295" i="2"/>
  <c r="AC113" i="2"/>
  <c r="AG319" i="2"/>
  <c r="AG379" i="2"/>
  <c r="E482" i="5"/>
  <c r="AD233" i="2"/>
  <c r="AC406" i="2"/>
  <c r="AF333" i="2"/>
  <c r="AE296" i="2"/>
  <c r="AB134" i="2"/>
  <c r="AG473" i="2"/>
  <c r="AD174" i="2"/>
  <c r="AA406" i="2"/>
  <c r="AF289" i="2"/>
  <c r="AB184" i="2"/>
  <c r="AA424" i="2"/>
  <c r="AG421" i="2"/>
  <c r="AA431" i="2"/>
  <c r="AG130" i="2"/>
  <c r="AG245" i="2"/>
  <c r="AA262" i="2"/>
  <c r="AC201" i="2"/>
  <c r="AB450" i="2"/>
  <c r="AB367" i="2"/>
  <c r="AE191" i="2"/>
  <c r="AC384" i="2"/>
  <c r="AD217" i="2"/>
  <c r="AD65" i="2"/>
  <c r="AF325" i="2"/>
  <c r="AC69" i="2"/>
  <c r="AD378" i="2"/>
  <c r="AG62" i="2"/>
  <c r="AC378" i="2"/>
  <c r="AG309" i="2"/>
  <c r="AD396" i="2"/>
  <c r="AE128" i="2"/>
  <c r="AG36" i="2"/>
  <c r="AB355" i="2"/>
  <c r="AG157" i="2"/>
  <c r="B200" i="5"/>
  <c r="AG156" i="2"/>
  <c r="E228" i="5"/>
  <c r="AB464" i="2"/>
  <c r="AD273" i="2"/>
  <c r="AF154" i="2"/>
  <c r="AE371" i="2"/>
  <c r="AA477" i="2"/>
  <c r="AA471" i="2"/>
  <c r="AE383" i="2"/>
  <c r="AB425" i="2"/>
  <c r="AC472" i="2"/>
  <c r="AD314" i="2"/>
  <c r="AF278" i="2"/>
  <c r="AC83" i="2"/>
  <c r="AB364" i="2"/>
  <c r="AB323" i="2"/>
  <c r="AC248" i="2"/>
  <c r="AA270" i="2"/>
  <c r="AB130" i="2"/>
  <c r="AD351" i="2"/>
  <c r="AF407" i="2"/>
  <c r="AE172" i="2"/>
  <c r="AG348" i="2"/>
  <c r="AC375" i="2"/>
  <c r="AD348" i="2"/>
  <c r="AE40" i="2"/>
  <c r="AB315" i="2"/>
  <c r="AE227" i="2"/>
  <c r="AB154" i="2"/>
  <c r="AB479" i="2"/>
  <c r="AF291" i="2"/>
  <c r="AD89" i="2"/>
  <c r="AG191" i="2"/>
  <c r="AF227" i="2"/>
  <c r="B334" i="5"/>
  <c r="E234" i="5"/>
  <c r="AA196" i="2"/>
  <c r="AE418" i="2"/>
  <c r="AB211" i="2"/>
  <c r="AE182" i="2"/>
  <c r="AG329" i="2"/>
  <c r="AF251" i="2"/>
  <c r="B177" i="5"/>
  <c r="AD210" i="2"/>
  <c r="AE134" i="2"/>
  <c r="AC241" i="2"/>
  <c r="AD363" i="2"/>
  <c r="AB363" i="2"/>
  <c r="AD357" i="2"/>
  <c r="AF204" i="2"/>
  <c r="AB212" i="2"/>
  <c r="AG426" i="2"/>
  <c r="AD226" i="2"/>
  <c r="AE308" i="2"/>
  <c r="AF70" i="2"/>
  <c r="AG433" i="2"/>
  <c r="AF302" i="2"/>
  <c r="AE240" i="2"/>
  <c r="B475" i="5"/>
  <c r="AC45" i="2"/>
  <c r="AF387" i="2"/>
  <c r="AA447" i="2"/>
  <c r="AE315" i="2"/>
  <c r="AC96" i="2"/>
  <c r="AB147" i="2"/>
  <c r="E324" i="5"/>
  <c r="B38" i="5"/>
  <c r="AE36" i="2"/>
  <c r="AG363" i="2"/>
  <c r="AG278" i="2"/>
  <c r="AG151" i="2"/>
  <c r="AD32" i="2"/>
  <c r="AD232" i="2"/>
  <c r="AC288" i="2"/>
  <c r="AB208" i="2"/>
  <c r="AG41" i="2"/>
  <c r="AG292" i="2"/>
  <c r="AC163" i="2"/>
  <c r="B301" i="5"/>
  <c r="E459" i="5"/>
  <c r="AE311" i="2"/>
  <c r="AB136" i="2"/>
  <c r="AA242" i="2"/>
  <c r="AA158" i="2"/>
  <c r="AB55" i="2"/>
  <c r="AB113" i="2"/>
  <c r="AA34" i="2"/>
  <c r="AB462" i="2"/>
  <c r="AE257" i="2"/>
  <c r="AD316" i="2"/>
  <c r="E40" i="5"/>
  <c r="AC97" i="2"/>
  <c r="AD230" i="2"/>
  <c r="AF199" i="2"/>
  <c r="AF406" i="2"/>
  <c r="AD413" i="2"/>
  <c r="AA306" i="2"/>
  <c r="AA86" i="2"/>
  <c r="AC212" i="2"/>
  <c r="AC47" i="2"/>
  <c r="AA203" i="2"/>
  <c r="AC152" i="2"/>
  <c r="AE129" i="2"/>
  <c r="AE287" i="2"/>
  <c r="E156" i="5"/>
  <c r="B465" i="5"/>
  <c r="AG443" i="2"/>
  <c r="AC433" i="2"/>
  <c r="AF395" i="2"/>
  <c r="AF109" i="2"/>
  <c r="AC138" i="2"/>
  <c r="AC349" i="2"/>
  <c r="AF94" i="2"/>
  <c r="AE99" i="2"/>
  <c r="AC214" i="2"/>
  <c r="E90" i="5"/>
  <c r="E158" i="5"/>
  <c r="AD368" i="2"/>
  <c r="AG468" i="2"/>
  <c r="AB298" i="2"/>
  <c r="AF284" i="2"/>
  <c r="AB405" i="2"/>
  <c r="AD114" i="2"/>
  <c r="E303" i="5"/>
  <c r="AE106" i="2"/>
  <c r="AF237" i="2"/>
  <c r="E50" i="5"/>
  <c r="E176" i="5"/>
  <c r="AE178" i="2"/>
  <c r="B424" i="5"/>
  <c r="AA134" i="2"/>
  <c r="B158" i="5"/>
  <c r="AA165" i="2"/>
  <c r="AA305" i="2"/>
  <c r="B469" i="5"/>
  <c r="B127" i="5"/>
  <c r="E431" i="5"/>
  <c r="AD81" i="2"/>
  <c r="AG199" i="2"/>
  <c r="AB244" i="2"/>
  <c r="AF274" i="2"/>
  <c r="AD137" i="2"/>
  <c r="AD464" i="2"/>
  <c r="AC205" i="2"/>
  <c r="AF292" i="2"/>
  <c r="AG340" i="2"/>
  <c r="AD361" i="2"/>
  <c r="AD159" i="2"/>
  <c r="AE152" i="2"/>
  <c r="E229" i="5"/>
  <c r="AE73" i="2"/>
  <c r="AG172" i="2"/>
  <c r="AC298" i="2"/>
  <c r="AE71" i="2"/>
  <c r="AC265" i="2"/>
  <c r="AA409" i="2"/>
  <c r="AC257" i="2"/>
  <c r="AA358" i="2"/>
  <c r="AF322" i="2"/>
  <c r="AA414" i="2"/>
  <c r="B433" i="5"/>
  <c r="AA349" i="2"/>
  <c r="AE211" i="2"/>
  <c r="AB260" i="2"/>
  <c r="AD280" i="2"/>
  <c r="AC412" i="2"/>
  <c r="AD297" i="2"/>
  <c r="AB397" i="2"/>
  <c r="B215" i="5"/>
  <c r="AF301" i="2"/>
  <c r="AC144" i="2"/>
  <c r="E494" i="5"/>
  <c r="AE118" i="2"/>
  <c r="AF328" i="2"/>
  <c r="AA186" i="2"/>
  <c r="AC413" i="2"/>
  <c r="AC235" i="2"/>
  <c r="AF482" i="2"/>
  <c r="AG450" i="2"/>
  <c r="AG297" i="2"/>
  <c r="AE42" i="2"/>
  <c r="AF444" i="2"/>
  <c r="AB34" i="2"/>
  <c r="AC46" i="2"/>
  <c r="E209" i="5"/>
  <c r="AC398" i="2"/>
  <c r="AC274" i="2"/>
  <c r="AG224" i="2"/>
  <c r="E422" i="5"/>
  <c r="AE333" i="2"/>
  <c r="E97" i="5"/>
  <c r="AG203" i="2"/>
  <c r="E504" i="5"/>
  <c r="AC64" i="2"/>
  <c r="AG34" i="2"/>
  <c r="E454" i="5"/>
  <c r="B436" i="5"/>
  <c r="E351" i="5"/>
  <c r="AF309" i="2"/>
  <c r="AA423" i="2"/>
  <c r="AG351" i="2"/>
  <c r="B467" i="5"/>
  <c r="AD78" i="2"/>
  <c r="AG469" i="2"/>
  <c r="E64" i="5"/>
  <c r="E138" i="5"/>
  <c r="AG474" i="2"/>
  <c r="AB279" i="2"/>
  <c r="B253" i="5"/>
  <c r="AC31" i="2"/>
  <c r="AF347" i="2"/>
  <c r="AD212" i="2"/>
  <c r="AG106" i="2"/>
  <c r="AA109" i="2"/>
  <c r="E360" i="5"/>
  <c r="AF285" i="2"/>
  <c r="B242" i="5"/>
  <c r="AB366" i="2"/>
  <c r="AE34" i="2"/>
  <c r="AB88" i="2"/>
  <c r="AD253" i="2"/>
  <c r="AA339" i="2"/>
  <c r="AA66" i="2"/>
  <c r="B464" i="5"/>
  <c r="AD170" i="2"/>
  <c r="B413" i="5"/>
  <c r="AF378" i="2"/>
  <c r="E348" i="5"/>
  <c r="E293" i="5"/>
  <c r="E409" i="5"/>
  <c r="AE306" i="2"/>
  <c r="AC475" i="2"/>
  <c r="AB101" i="2"/>
  <c r="AF159" i="2"/>
  <c r="AB72" i="2"/>
  <c r="E485" i="5"/>
  <c r="B164" i="5"/>
  <c r="AE158" i="2"/>
  <c r="E240" i="5"/>
  <c r="B420" i="5"/>
  <c r="B430" i="5"/>
  <c r="AC156" i="2"/>
  <c r="AB335" i="2"/>
  <c r="AC67" i="2"/>
  <c r="B69" i="5"/>
  <c r="AD49" i="2"/>
  <c r="AC227" i="2"/>
  <c r="E440" i="5"/>
  <c r="AD398" i="2"/>
  <c r="AC170" i="2"/>
  <c r="AA263" i="2"/>
  <c r="AB75" i="2"/>
  <c r="AC282" i="2"/>
  <c r="AC266" i="2"/>
  <c r="AC393" i="2"/>
  <c r="B486" i="5"/>
  <c r="AG316" i="2"/>
  <c r="AC168" i="2"/>
  <c r="E346" i="5"/>
  <c r="AC426" i="2"/>
  <c r="AD386" i="2"/>
  <c r="AF366" i="2"/>
  <c r="AE237" i="2"/>
  <c r="AE365" i="2"/>
  <c r="AG152" i="2"/>
  <c r="AF48" i="2"/>
  <c r="E157" i="5"/>
  <c r="B304" i="5"/>
  <c r="AD86" i="2"/>
  <c r="AC173" i="2"/>
  <c r="E490" i="5"/>
  <c r="B217" i="5"/>
  <c r="B185" i="5"/>
  <c r="E505" i="5"/>
  <c r="AF202" i="2"/>
  <c r="AF79" i="2"/>
  <c r="AB181" i="2"/>
  <c r="AF78" i="2"/>
  <c r="AB239" i="2"/>
  <c r="B187" i="5"/>
  <c r="AD156" i="2"/>
  <c r="B411" i="5"/>
  <c r="AG29" i="2"/>
  <c r="B422" i="5"/>
  <c r="AD44" i="2"/>
  <c r="E54" i="5"/>
  <c r="AC48" i="2"/>
  <c r="AB257" i="2"/>
  <c r="AF51" i="2"/>
  <c r="AG440" i="2"/>
  <c r="AB189" i="2"/>
  <c r="AC439" i="2"/>
  <c r="AG128" i="2"/>
  <c r="AG430" i="2"/>
  <c r="AE372" i="2"/>
  <c r="AC94" i="2"/>
  <c r="AE75" i="2"/>
  <c r="AC292" i="2"/>
  <c r="AG134" i="2"/>
  <c r="B222" i="5"/>
  <c r="AB230" i="2"/>
  <c r="E414" i="5"/>
  <c r="AB54" i="2"/>
  <c r="B360" i="5"/>
  <c r="AC249" i="2"/>
  <c r="AD448" i="2"/>
  <c r="AD444" i="2"/>
  <c r="AD202" i="2"/>
  <c r="AG55" i="2"/>
  <c r="AC452" i="2"/>
  <c r="AG146" i="2"/>
  <c r="AA288" i="2"/>
  <c r="B485" i="5"/>
  <c r="AD101" i="2"/>
  <c r="AB369" i="2"/>
  <c r="AB407" i="2"/>
  <c r="AD209" i="2"/>
  <c r="AF273" i="2"/>
  <c r="AD194" i="2"/>
  <c r="AD311" i="2"/>
  <c r="B251" i="5"/>
  <c r="B45" i="5"/>
  <c r="AC238" i="2"/>
  <c r="E161" i="5"/>
  <c r="B161" i="5"/>
  <c r="AB139" i="2"/>
  <c r="E312" i="5"/>
  <c r="AG252" i="2"/>
  <c r="B414" i="5"/>
  <c r="AB377" i="2"/>
  <c r="B308" i="5"/>
  <c r="AE49" i="2"/>
  <c r="B80" i="5"/>
  <c r="E108" i="5"/>
  <c r="AF318" i="2"/>
  <c r="AB50" i="2"/>
  <c r="AB439" i="2"/>
  <c r="AC473" i="2"/>
  <c r="AB57" i="2"/>
  <c r="AG445" i="2"/>
  <c r="AB271" i="2"/>
  <c r="AF59" i="2"/>
  <c r="B380" i="5"/>
  <c r="AA296" i="2"/>
  <c r="AD41" i="2"/>
  <c r="E316" i="5"/>
  <c r="AE356" i="2"/>
  <c r="AA50" i="2"/>
  <c r="E119" i="5"/>
  <c r="AD459" i="2"/>
  <c r="AE260" i="2"/>
  <c r="AD231" i="2"/>
  <c r="AE279" i="2"/>
  <c r="B62" i="5"/>
  <c r="E171" i="5"/>
  <c r="B159" i="5"/>
  <c r="AF98" i="2"/>
  <c r="AB74" i="2"/>
  <c r="B338" i="5"/>
  <c r="AE334" i="2"/>
  <c r="AG272" i="2"/>
  <c r="AA97" i="2"/>
  <c r="AB198" i="2"/>
  <c r="AB69" i="2"/>
  <c r="B35" i="5"/>
  <c r="AG270" i="2"/>
  <c r="E136" i="5"/>
  <c r="AF304" i="2"/>
  <c r="E105" i="5"/>
  <c r="AF295" i="2"/>
  <c r="AF229" i="2"/>
  <c r="AG165" i="2"/>
  <c r="AA362" i="2"/>
  <c r="AF38" i="2"/>
  <c r="AA166" i="2"/>
  <c r="E469" i="5"/>
  <c r="AG96" i="2"/>
  <c r="AF168" i="2"/>
  <c r="AG208" i="2"/>
  <c r="AE196" i="2"/>
  <c r="AD418" i="2"/>
  <c r="AD402" i="2"/>
  <c r="E236" i="5"/>
  <c r="E376" i="5"/>
  <c r="AE236" i="2"/>
  <c r="AB140" i="2"/>
  <c r="E510" i="5"/>
  <c r="AA435" i="2"/>
  <c r="AF358" i="2"/>
  <c r="AF337" i="2"/>
  <c r="E357" i="5"/>
  <c r="AC279" i="2"/>
  <c r="AB286" i="2"/>
  <c r="AA92" i="2"/>
  <c r="B339" i="5"/>
  <c r="AD272" i="2"/>
  <c r="AB40" i="2"/>
  <c r="E203" i="5"/>
  <c r="B139" i="5"/>
  <c r="AC129" i="2"/>
  <c r="AA159" i="2"/>
  <c r="E425" i="5"/>
  <c r="AA162" i="2"/>
  <c r="AG116" i="2"/>
  <c r="B421" i="5"/>
  <c r="AE30" i="2"/>
  <c r="AB321" i="2"/>
  <c r="AB216" i="2"/>
  <c r="AE50" i="2"/>
  <c r="E217" i="5"/>
  <c r="B213" i="5"/>
  <c r="AF153" i="2"/>
  <c r="B300" i="5"/>
  <c r="AC318" i="2"/>
  <c r="AA206" i="2"/>
  <c r="AE303" i="2"/>
  <c r="AB476" i="2"/>
  <c r="AF197" i="2"/>
  <c r="AA130" i="2"/>
  <c r="AC30" i="2"/>
  <c r="AD442" i="2"/>
  <c r="AA81" i="2"/>
  <c r="AE82" i="2"/>
  <c r="AG304" i="2"/>
  <c r="B137" i="5"/>
  <c r="AA291" i="2"/>
  <c r="AB352" i="2"/>
  <c r="AD160" i="2"/>
  <c r="AC82" i="2"/>
  <c r="E178" i="5"/>
  <c r="AE390" i="2"/>
  <c r="AD421" i="2"/>
  <c r="AG355" i="2"/>
  <c r="AC309" i="2"/>
  <c r="AF142" i="2"/>
  <c r="AG154" i="2"/>
  <c r="AG411" i="2"/>
  <c r="AF73" i="2"/>
  <c r="AF36" i="2"/>
  <c r="B83" i="5"/>
  <c r="AE70" i="2"/>
  <c r="AA226" i="2"/>
  <c r="AA360" i="2"/>
  <c r="AA285" i="2"/>
  <c r="E160" i="5"/>
  <c r="B508" i="5"/>
  <c r="AF343" i="2"/>
  <c r="AC434" i="2"/>
  <c r="AF267" i="2"/>
  <c r="AD462" i="2"/>
  <c r="AC126" i="2"/>
  <c r="E337" i="5"/>
  <c r="AE38" i="2"/>
  <c r="AB128" i="2"/>
  <c r="AD425" i="2"/>
  <c r="AD269" i="2"/>
  <c r="E334" i="5"/>
  <c r="AE323" i="2"/>
  <c r="AE476" i="2"/>
  <c r="AD146" i="2"/>
  <c r="AE95" i="2"/>
  <c r="AE146" i="2"/>
  <c r="AE286" i="2"/>
  <c r="AB114" i="2"/>
  <c r="AE302" i="2"/>
  <c r="AE101" i="2"/>
  <c r="AF224" i="2"/>
  <c r="AA199" i="2"/>
  <c r="AB206" i="2"/>
  <c r="B143" i="5"/>
  <c r="AC310" i="2"/>
  <c r="AD322" i="2"/>
  <c r="AB169" i="2"/>
  <c r="AA135" i="2"/>
  <c r="AA374" i="2"/>
  <c r="AG136" i="2"/>
  <c r="AG64" i="2"/>
  <c r="AF68" i="2"/>
  <c r="AF47" i="2"/>
  <c r="AC154" i="2"/>
  <c r="E87" i="5"/>
  <c r="E340" i="5"/>
  <c r="AC142" i="2"/>
  <c r="AC132" i="2"/>
  <c r="AA40" i="2"/>
  <c r="AC340" i="2"/>
  <c r="AG161" i="2"/>
  <c r="E192" i="5"/>
  <c r="AD354" i="2"/>
  <c r="AF220" i="2"/>
  <c r="AF137" i="2"/>
  <c r="AA392" i="2"/>
  <c r="B241" i="5"/>
  <c r="AB255" i="2"/>
  <c r="B203" i="5"/>
  <c r="B519" i="5"/>
  <c r="E131" i="5"/>
  <c r="AB195" i="2"/>
  <c r="E366" i="5"/>
  <c r="E61" i="5"/>
  <c r="B128" i="5"/>
  <c r="E499" i="5"/>
  <c r="AE188" i="2"/>
  <c r="AC166" i="2"/>
  <c r="B256" i="5"/>
  <c r="AF203" i="2"/>
  <c r="AA341" i="2"/>
  <c r="AA188" i="2"/>
  <c r="AC139" i="2"/>
  <c r="AC84" i="2"/>
  <c r="B255" i="5"/>
  <c r="B505" i="5"/>
  <c r="E189" i="5"/>
  <c r="AD401" i="2"/>
  <c r="AB447" i="2"/>
  <c r="AB378" i="2"/>
  <c r="AF335" i="2"/>
  <c r="AD193" i="2"/>
  <c r="AD166" i="2"/>
  <c r="AF140" i="2"/>
  <c r="AE344" i="2"/>
  <c r="AC450" i="2"/>
  <c r="AA127" i="2"/>
  <c r="AA98" i="2"/>
  <c r="AD251" i="2"/>
  <c r="AC445" i="2"/>
  <c r="E210" i="5"/>
  <c r="AC224" i="2"/>
  <c r="AE166" i="2"/>
  <c r="AG449" i="2"/>
  <c r="AG167" i="2"/>
  <c r="B85" i="5"/>
  <c r="AA211" i="2"/>
  <c r="B367" i="5"/>
  <c r="AF290" i="2"/>
  <c r="B306" i="5"/>
  <c r="AD85" i="2"/>
  <c r="B347" i="5"/>
  <c r="E52" i="5"/>
  <c r="AD172" i="2"/>
  <c r="AA313" i="2"/>
  <c r="AE109" i="2"/>
  <c r="AB193" i="2"/>
  <c r="AE139" i="2"/>
  <c r="E202" i="5"/>
  <c r="AC109" i="2"/>
  <c r="AB162" i="2"/>
  <c r="AD291" i="2"/>
  <c r="E408" i="5"/>
  <c r="AG315" i="2"/>
  <c r="AE52" i="2"/>
  <c r="AB87" i="2"/>
  <c r="AA295" i="2"/>
  <c r="AG385" i="2"/>
  <c r="E392" i="5"/>
  <c r="E239" i="5"/>
  <c r="AF215" i="2"/>
  <c r="AF476" i="2"/>
  <c r="AC175" i="2"/>
  <c r="AE368" i="2"/>
  <c r="AC351" i="2"/>
  <c r="AG115" i="2"/>
  <c r="AF178" i="2"/>
  <c r="E184" i="5"/>
  <c r="AF297" i="2"/>
  <c r="AB264" i="2"/>
  <c r="AC149" i="2"/>
  <c r="AG342" i="2"/>
  <c r="AF389" i="2"/>
  <c r="AD274" i="2"/>
  <c r="AF184" i="2"/>
  <c r="AB86" i="2"/>
  <c r="AE105" i="2"/>
  <c r="AD75" i="2"/>
  <c r="AA286" i="2"/>
  <c r="AF432" i="2"/>
  <c r="AF447" i="2"/>
  <c r="E198" i="5"/>
  <c r="AB232" i="2"/>
  <c r="AA302" i="2"/>
  <c r="AF357" i="2"/>
  <c r="AE169" i="2"/>
  <c r="AA335" i="2"/>
  <c r="B337" i="5"/>
  <c r="AA53" i="2"/>
  <c r="AF268" i="2"/>
  <c r="AF286" i="2"/>
  <c r="B408" i="5"/>
  <c r="AA281" i="2"/>
  <c r="E435" i="5"/>
  <c r="AB357" i="2"/>
  <c r="AE274" i="2"/>
  <c r="E168" i="5"/>
  <c r="B210" i="5"/>
  <c r="AA142" i="2"/>
  <c r="AB325" i="2"/>
  <c r="AA119" i="2"/>
  <c r="AA151" i="2"/>
  <c r="AA123" i="2"/>
  <c r="E455" i="5"/>
  <c r="E49" i="5"/>
  <c r="AC260" i="2"/>
  <c r="B40" i="5"/>
  <c r="AC284" i="2"/>
  <c r="AD142" i="2"/>
  <c r="AD149" i="2"/>
  <c r="AD115" i="2"/>
  <c r="AE263" i="2"/>
  <c r="E475" i="5"/>
  <c r="AD320" i="2"/>
  <c r="AF64" i="2"/>
  <c r="AF308" i="2"/>
  <c r="AA182" i="2"/>
  <c r="AA472" i="2"/>
  <c r="AE304" i="2"/>
  <c r="AG124" i="2"/>
  <c r="B65" i="5"/>
  <c r="AB85" i="2"/>
  <c r="E302" i="5"/>
  <c r="E341" i="5"/>
  <c r="AC467" i="2"/>
  <c r="AG407" i="2"/>
  <c r="AA415" i="2"/>
  <c r="AB345" i="2"/>
  <c r="E250" i="5"/>
  <c r="AA456" i="2"/>
  <c r="AC471" i="2"/>
  <c r="AD330" i="2"/>
  <c r="AD353" i="2"/>
  <c r="E153" i="5"/>
  <c r="AF283" i="2"/>
  <c r="AD197" i="2"/>
  <c r="AB222" i="2"/>
  <c r="AA224" i="2"/>
  <c r="AB430" i="2"/>
  <c r="AG73" i="2"/>
  <c r="AC118" i="2"/>
  <c r="B87" i="5"/>
  <c r="AB194" i="2"/>
  <c r="AD125" i="2"/>
  <c r="AF256" i="2"/>
  <c r="AF355" i="2"/>
  <c r="B298" i="5"/>
  <c r="AE143" i="2"/>
  <c r="E430" i="5"/>
  <c r="AE328" i="2"/>
  <c r="AC105" i="2"/>
  <c r="AE141" i="2"/>
  <c r="AA283" i="2"/>
  <c r="AD422" i="2"/>
  <c r="AE384" i="2"/>
  <c r="AA102" i="2"/>
  <c r="AC114" i="2"/>
  <c r="AF450" i="2"/>
  <c r="AB231" i="2"/>
  <c r="AC444" i="2"/>
  <c r="AC245" i="2"/>
  <c r="AD262" i="2"/>
  <c r="AF113" i="2"/>
  <c r="AB395" i="2"/>
  <c r="AF445" i="2"/>
  <c r="AC342" i="2"/>
  <c r="AG360" i="2"/>
  <c r="AD151" i="2"/>
  <c r="AG140" i="2"/>
  <c r="AA105" i="2"/>
  <c r="E251" i="5"/>
  <c r="E479" i="5"/>
  <c r="AD141" i="2"/>
  <c r="B502" i="5"/>
  <c r="E164" i="5"/>
  <c r="AD255" i="2"/>
  <c r="AD168" i="2"/>
  <c r="AF241" i="2"/>
  <c r="AD390" i="2"/>
  <c r="B365" i="5"/>
  <c r="AA77" i="2"/>
  <c r="AC482" i="2"/>
  <c r="E424" i="5"/>
  <c r="B509" i="5"/>
  <c r="AB428" i="2"/>
  <c r="AA229" i="2"/>
  <c r="E492" i="5"/>
  <c r="B314" i="5"/>
  <c r="AB311" i="2"/>
  <c r="AA80" i="2"/>
  <c r="AB213" i="2"/>
  <c r="AC119" i="2"/>
  <c r="AB71" i="2"/>
  <c r="AB46" i="2"/>
  <c r="AG57" i="2"/>
  <c r="AF342" i="2"/>
  <c r="E468" i="5"/>
  <c r="AB185" i="2"/>
  <c r="E315" i="5"/>
  <c r="AC346" i="2"/>
  <c r="B227" i="5"/>
  <c r="AD59" i="2"/>
  <c r="B349" i="5"/>
  <c r="AG325" i="2"/>
  <c r="AD201" i="2"/>
  <c r="AD161" i="2"/>
  <c r="AD112" i="2"/>
  <c r="AE422" i="2"/>
  <c r="AB223" i="2"/>
  <c r="AA144" i="2"/>
  <c r="B357" i="5"/>
  <c r="B423" i="5"/>
  <c r="E134" i="5"/>
  <c r="E338" i="5"/>
  <c r="AD265" i="2"/>
  <c r="AE98" i="2"/>
  <c r="AG56" i="2"/>
  <c r="AF34" i="2"/>
  <c r="AE149" i="2"/>
  <c r="AE177" i="2"/>
  <c r="AD117" i="2"/>
  <c r="AF108" i="2"/>
  <c r="AF175" i="2"/>
  <c r="AF272" i="2"/>
  <c r="AB58" i="2"/>
  <c r="AB61" i="2"/>
  <c r="E71" i="5"/>
  <c r="E347" i="5"/>
  <c r="AG100" i="2"/>
  <c r="AE340" i="2"/>
  <c r="B76" i="5"/>
  <c r="AC246" i="2"/>
  <c r="B459" i="5"/>
  <c r="AA404" i="2"/>
  <c r="B152" i="5"/>
  <c r="E218" i="5"/>
  <c r="E352" i="5"/>
  <c r="E194" i="5"/>
  <c r="E150" i="5"/>
  <c r="AG158" i="2"/>
  <c r="B364" i="5"/>
  <c r="AF101" i="2"/>
  <c r="AC344" i="2"/>
  <c r="AG311" i="2"/>
  <c r="AF244" i="2"/>
  <c r="AA261" i="2"/>
  <c r="AA220" i="2"/>
  <c r="AF171" i="2"/>
  <c r="B237" i="5"/>
  <c r="E37" i="5"/>
  <c r="AC435" i="2"/>
  <c r="AG226" i="2"/>
  <c r="AB214" i="2"/>
  <c r="AA215" i="2"/>
  <c r="AB368" i="2"/>
  <c r="AC273" i="2"/>
  <c r="E141" i="5"/>
  <c r="AG285" i="2"/>
  <c r="AE318" i="2"/>
  <c r="AG291" i="2"/>
  <c r="AC164" i="2"/>
  <c r="AF143" i="2"/>
  <c r="AC255" i="2"/>
  <c r="B178" i="5"/>
  <c r="AC350" i="2"/>
  <c r="B317" i="5"/>
  <c r="AD130" i="2"/>
  <c r="AG43" i="2"/>
  <c r="AD58" i="2"/>
  <c r="AG74" i="2"/>
  <c r="AC300" i="2"/>
  <c r="AB150" i="2"/>
  <c r="E495" i="5"/>
  <c r="AC239" i="2"/>
  <c r="AA299" i="2"/>
  <c r="AA200" i="2"/>
  <c r="AF385" i="2"/>
  <c r="AE381" i="2"/>
  <c r="AF250" i="2"/>
  <c r="E33" i="5"/>
  <c r="B294" i="5"/>
  <c r="AD90" i="2"/>
  <c r="AD222" i="2"/>
  <c r="AD246" i="2"/>
  <c r="AC165" i="2"/>
  <c r="AA277" i="2"/>
  <c r="AG434" i="2"/>
  <c r="AD370" i="2"/>
  <c r="AF100" i="2"/>
  <c r="AD299" i="2"/>
  <c r="AE391" i="2"/>
  <c r="AG112" i="2"/>
  <c r="AF147" i="2"/>
  <c r="AB238" i="2"/>
  <c r="E169" i="5"/>
  <c r="AC404" i="2"/>
  <c r="AD350" i="2"/>
  <c r="AC91" i="2"/>
  <c r="AE66" i="2"/>
  <c r="AC263" i="2"/>
  <c r="AA412" i="2"/>
  <c r="AC354" i="2"/>
  <c r="AB124" i="2"/>
  <c r="AC216" i="2"/>
  <c r="E438" i="5"/>
  <c r="AA208" i="2"/>
  <c r="AD394" i="2"/>
  <c r="AA108" i="2"/>
  <c r="AB412" i="2"/>
  <c r="AB300" i="2"/>
  <c r="AA94" i="2"/>
  <c r="AA233" i="2"/>
  <c r="AE449" i="2"/>
  <c r="AF341" i="2"/>
  <c r="B415" i="5"/>
  <c r="AB83" i="2"/>
  <c r="AD100" i="2"/>
  <c r="AF80" i="2"/>
  <c r="E306" i="5"/>
  <c r="AA470" i="2"/>
  <c r="AD271" i="2"/>
  <c r="AF111" i="2"/>
  <c r="AB236" i="2"/>
  <c r="AA65" i="2"/>
  <c r="B477" i="5"/>
  <c r="AG400" i="2"/>
  <c r="AC182" i="2"/>
  <c r="AA124" i="2"/>
  <c r="AC186" i="2"/>
  <c r="AF62" i="2"/>
  <c r="AD57" i="2"/>
  <c r="AE197" i="2"/>
  <c r="B63" i="5"/>
  <c r="AB400" i="2"/>
  <c r="AA89" i="2"/>
  <c r="AA30" i="2"/>
  <c r="AF423" i="2"/>
  <c r="AG367" i="2"/>
  <c r="AC368" i="2"/>
  <c r="AA317" i="2"/>
  <c r="AA187" i="2"/>
  <c r="AC290" i="2"/>
  <c r="AE430" i="2"/>
  <c r="E339" i="5"/>
  <c r="AB122" i="2"/>
  <c r="E390" i="5"/>
  <c r="E473" i="5"/>
  <c r="E95" i="5"/>
  <c r="AC95" i="2"/>
  <c r="AF258" i="2"/>
  <c r="AD131" i="2"/>
  <c r="B331" i="5"/>
  <c r="B184" i="5"/>
  <c r="E383" i="5"/>
  <c r="E200" i="5"/>
  <c r="AF281" i="2"/>
  <c r="AC150" i="2"/>
  <c r="AB43" i="2"/>
  <c r="E142" i="5"/>
  <c r="E76" i="5"/>
  <c r="AC176" i="2"/>
  <c r="E126" i="5"/>
  <c r="AF379" i="2"/>
  <c r="E456" i="5"/>
  <c r="E354" i="5"/>
  <c r="E322" i="5"/>
  <c r="B322" i="5"/>
  <c r="AD313" i="2"/>
  <c r="AA421" i="2"/>
  <c r="AB341" i="2"/>
  <c r="AF166" i="2"/>
  <c r="AF399" i="2"/>
  <c r="E503" i="5"/>
  <c r="AA235" i="2"/>
  <c r="AE35" i="2"/>
  <c r="AC302" i="2"/>
  <c r="AG274" i="2"/>
  <c r="AF195" i="2"/>
  <c r="AA75" i="2"/>
  <c r="AF123" i="2"/>
  <c r="AD48" i="2"/>
  <c r="AB246" i="2"/>
  <c r="AC136" i="2"/>
  <c r="B404" i="5"/>
  <c r="E155" i="5"/>
  <c r="AE406" i="2"/>
  <c r="AE173" i="2"/>
  <c r="AC197" i="2"/>
  <c r="AE184" i="2"/>
  <c r="AB295" i="2"/>
  <c r="AG84" i="2"/>
  <c r="B74" i="5"/>
  <c r="B410" i="5"/>
  <c r="AG409" i="2"/>
  <c r="AD71" i="2"/>
  <c r="AG463" i="2"/>
  <c r="AF116" i="2"/>
  <c r="AD379" i="2"/>
  <c r="AG40" i="2"/>
  <c r="AD120" i="2"/>
  <c r="AE231" i="2"/>
  <c r="E451" i="5"/>
  <c r="AA318" i="2"/>
  <c r="E147" i="5"/>
  <c r="AF129" i="2"/>
  <c r="B307" i="5"/>
  <c r="AF349" i="2"/>
  <c r="B36" i="5"/>
  <c r="E68" i="5"/>
  <c r="AB262" i="2"/>
  <c r="AB92" i="2"/>
  <c r="AD259" i="2"/>
  <c r="AD416" i="2"/>
  <c r="B66" i="5"/>
  <c r="AA64" i="2"/>
  <c r="E432" i="5"/>
  <c r="E403" i="5"/>
  <c r="B499" i="5"/>
  <c r="AB32" i="2"/>
  <c r="AC102" i="2"/>
  <c r="AE292" i="2"/>
  <c r="AD129" i="2"/>
  <c r="AD447" i="1"/>
  <c r="AC335" i="2"/>
  <c r="AG42" i="2"/>
  <c r="E246" i="5"/>
  <c r="AC301" i="2"/>
  <c r="AB77" i="2"/>
  <c r="B389" i="5"/>
  <c r="B236" i="5"/>
  <c r="AA241" i="2"/>
  <c r="AD98" i="2"/>
  <c r="B61" i="5"/>
  <c r="AA304" i="2"/>
  <c r="AB90" i="2"/>
  <c r="AC211" i="2"/>
  <c r="AD236" i="2"/>
  <c r="E89" i="5"/>
  <c r="AA84" i="2"/>
  <c r="AD196" i="2"/>
  <c r="AC85" i="2"/>
  <c r="B488" i="5"/>
  <c r="AF136" i="2"/>
  <c r="AF228" i="2"/>
  <c r="AF148" i="2"/>
  <c r="AD177" i="2"/>
  <c r="AE193" i="2"/>
  <c r="E385" i="5"/>
  <c r="B95" i="5"/>
  <c r="AF31" i="2"/>
  <c r="E462" i="5"/>
  <c r="E512" i="5"/>
  <c r="AA384" i="2"/>
  <c r="AA340" i="2"/>
  <c r="AD73" i="2"/>
  <c r="AF353" i="2"/>
  <c r="AF234" i="2"/>
  <c r="AC348" i="2"/>
  <c r="B204" i="5"/>
  <c r="AB269" i="2"/>
  <c r="AC466" i="2"/>
  <c r="AG169" i="2"/>
  <c r="AC103" i="2"/>
  <c r="AC42" i="2"/>
  <c r="B170" i="5"/>
  <c r="E237" i="5"/>
  <c r="B77" i="5"/>
  <c r="B474" i="5"/>
  <c r="B52" i="5"/>
  <c r="AA327" i="2"/>
  <c r="AE234" i="2"/>
  <c r="B132" i="5"/>
  <c r="E73" i="5"/>
  <c r="AB266" i="2"/>
  <c r="AC135" i="2"/>
  <c r="AD143" i="2"/>
  <c r="AE111" i="2"/>
  <c r="AE348" i="2"/>
  <c r="AA161" i="2"/>
  <c r="AF294" i="2"/>
  <c r="AE72" i="2"/>
  <c r="E55" i="5"/>
  <c r="AG321" i="2"/>
  <c r="AG271" i="2"/>
  <c r="AD97" i="2"/>
  <c r="AF225" i="2"/>
  <c r="E53" i="5"/>
  <c r="E483" i="5"/>
  <c r="E452" i="5"/>
  <c r="B120" i="5"/>
  <c r="AB164" i="2"/>
  <c r="AA463" i="2"/>
  <c r="AB309" i="2"/>
  <c r="AE294" i="2"/>
  <c r="B220" i="5"/>
  <c r="E329" i="5"/>
  <c r="B473" i="5"/>
  <c r="AD67" i="2"/>
  <c r="AD205" i="2"/>
  <c r="AF240" i="2"/>
  <c r="AE39" i="2"/>
  <c r="AB234" i="2"/>
  <c r="AF63" i="2"/>
  <c r="AD38" i="2"/>
  <c r="AB424" i="2"/>
  <c r="AF156" i="2"/>
  <c r="E163" i="5"/>
  <c r="AE216" i="2"/>
  <c r="B27" i="5"/>
  <c r="AE33" i="2"/>
  <c r="AF451" i="2"/>
  <c r="AA307" i="2"/>
  <c r="B176" i="5"/>
  <c r="AG240" i="2"/>
  <c r="E412" i="5"/>
  <c r="B511" i="5"/>
  <c r="AB253" i="2"/>
  <c r="AD414" i="2"/>
  <c r="B68" i="5"/>
  <c r="AG107" i="2"/>
  <c r="AE397" i="2"/>
  <c r="AA418" i="2"/>
  <c r="AE206" i="2"/>
  <c r="E117" i="5"/>
  <c r="E44" i="5"/>
  <c r="B101" i="5"/>
  <c r="AC362" i="2"/>
  <c r="B115" i="5"/>
  <c r="E165" i="5"/>
  <c r="AE202" i="2"/>
  <c r="AD80" i="2"/>
  <c r="AG279" i="2"/>
  <c r="AE405" i="2"/>
  <c r="AD199" i="2"/>
  <c r="B32" i="5"/>
  <c r="AD341" i="2"/>
  <c r="AC311" i="2"/>
  <c r="B206" i="5"/>
  <c r="E78" i="5"/>
  <c r="AC204" i="2"/>
  <c r="AB109" i="2"/>
  <c r="AG89" i="2"/>
  <c r="AA445" i="2"/>
  <c r="AG45" i="2"/>
  <c r="AC329" i="2"/>
  <c r="AE122" i="2"/>
  <c r="E373" i="5"/>
  <c r="B160" i="5"/>
  <c r="AD53" i="2"/>
  <c r="AE189" i="2"/>
  <c r="AD122" i="2"/>
  <c r="AA213" i="2"/>
  <c r="AE343" i="2"/>
  <c r="AE137" i="2"/>
  <c r="B513" i="5"/>
  <c r="AC151" i="2"/>
  <c r="AA279" i="2"/>
  <c r="AB148" i="1"/>
  <c r="B228" i="5"/>
  <c r="E140" i="5"/>
  <c r="E488" i="5"/>
  <c r="AA52" i="2"/>
  <c r="AF76" i="2"/>
  <c r="AD225" i="2"/>
  <c r="AA361" i="2"/>
  <c r="AE62" i="2"/>
  <c r="AB292" i="2"/>
  <c r="E255" i="5"/>
  <c r="AB467" i="2"/>
  <c r="AD83" i="2"/>
  <c r="E70" i="5"/>
  <c r="AE164" i="2"/>
  <c r="AB409" i="2"/>
  <c r="B495" i="5"/>
  <c r="AD335" i="2"/>
  <c r="AE232" i="2"/>
  <c r="AE396" i="2"/>
  <c r="E314" i="5"/>
  <c r="AD250" i="2"/>
  <c r="AG227" i="2"/>
  <c r="E247" i="5"/>
  <c r="AC223" i="2"/>
  <c r="B522" i="5"/>
  <c r="B386" i="5"/>
  <c r="E506" i="5"/>
  <c r="AA29" i="2"/>
  <c r="AA110" i="2"/>
  <c r="AD345" i="2"/>
  <c r="AC153" i="2"/>
  <c r="AC159" i="2"/>
  <c r="B117" i="5"/>
  <c r="B179" i="5"/>
  <c r="AD203" i="2"/>
  <c r="AG397" i="2"/>
  <c r="E509" i="5"/>
  <c r="AB199" i="2"/>
  <c r="AG317" i="2"/>
  <c r="AG148" i="2"/>
  <c r="AF293" i="2"/>
  <c r="B405" i="5"/>
  <c r="B209" i="5"/>
  <c r="B383" i="5"/>
  <c r="AD468" i="2"/>
  <c r="AE309" i="2"/>
  <c r="AA312" i="2"/>
  <c r="AA467" i="2"/>
  <c r="AB41" i="2"/>
  <c r="AB328" i="2"/>
  <c r="AF410" i="2"/>
  <c r="AA114" i="2"/>
  <c r="AD277" i="2"/>
  <c r="AE55" i="2"/>
  <c r="AD465" i="2"/>
  <c r="B419" i="5"/>
  <c r="AG244" i="2"/>
  <c r="AG170" i="2"/>
  <c r="AD263" i="2"/>
  <c r="B333" i="5"/>
  <c r="AC185" i="2"/>
  <c r="AG212" i="2"/>
  <c r="AC187" i="2"/>
  <c r="AG114" i="2"/>
  <c r="E323" i="5"/>
  <c r="E387" i="5"/>
  <c r="B46" i="5"/>
  <c r="AD387" i="2"/>
  <c r="B58" i="5"/>
  <c r="E350" i="5"/>
  <c r="AB51" i="2"/>
  <c r="AB299" i="2"/>
  <c r="AA444" i="2"/>
  <c r="AG465" i="2"/>
  <c r="AA78" i="2"/>
  <c r="AE125" i="2"/>
  <c r="B350" i="5"/>
  <c r="AE159" i="2"/>
  <c r="B503" i="5"/>
  <c r="AE161" i="2"/>
  <c r="B54" i="5"/>
  <c r="E34" i="5"/>
  <c r="B48" i="5"/>
  <c r="E148" i="5"/>
  <c r="B193" i="5"/>
  <c r="AG259" i="2"/>
  <c r="B141" i="5"/>
  <c r="AF427" i="2"/>
  <c r="AF33" i="2"/>
  <c r="AG459" i="2"/>
  <c r="AB201" i="2"/>
  <c r="B437" i="5"/>
  <c r="E298" i="5"/>
  <c r="AB131" i="2"/>
  <c r="AA276" i="2"/>
  <c r="E358" i="5"/>
  <c r="AD106" i="2"/>
  <c r="AG232" i="2"/>
  <c r="E152" i="5"/>
  <c r="E343" i="5"/>
  <c r="E393" i="5"/>
  <c r="B362" i="5"/>
  <c r="B426" i="5"/>
  <c r="AD290" i="2"/>
  <c r="AD162" i="2"/>
  <c r="B318" i="5"/>
  <c r="AD467" i="2"/>
  <c r="E232" i="5"/>
  <c r="E42" i="5"/>
  <c r="E423" i="5"/>
  <c r="AC52" i="2"/>
  <c r="AC219" i="2"/>
  <c r="AF243" i="2"/>
  <c r="AB48" i="2"/>
  <c r="E135" i="5"/>
  <c r="E85" i="5"/>
  <c r="AD261" i="2"/>
  <c r="AC229" i="2"/>
  <c r="AC353" i="2"/>
  <c r="AD43" i="2"/>
  <c r="AG164" i="2"/>
  <c r="AC99" i="2"/>
  <c r="AE90" i="2"/>
  <c r="E175" i="5"/>
  <c r="AC137" i="2"/>
  <c r="AB448" i="2"/>
  <c r="AA169" i="2"/>
  <c r="B359" i="5"/>
  <c r="E404" i="5"/>
  <c r="B108" i="5"/>
  <c r="AF453" i="2"/>
  <c r="AE317" i="2"/>
  <c r="AG388" i="2"/>
  <c r="AB177" i="2"/>
  <c r="E356" i="5"/>
  <c r="AE299" i="2"/>
  <c r="AD61" i="2"/>
  <c r="AE229" i="2"/>
  <c r="E418" i="5"/>
  <c r="AF474" i="2"/>
  <c r="B244" i="5"/>
  <c r="B375" i="5"/>
  <c r="E458" i="5"/>
  <c r="E381" i="5"/>
  <c r="AF236" i="2"/>
  <c r="AC437" i="2"/>
  <c r="AD36" i="2"/>
  <c r="E466" i="5"/>
  <c r="AB52" i="2"/>
  <c r="AG211" i="2"/>
  <c r="AF120" i="2"/>
  <c r="B233" i="5"/>
  <c r="E520" i="5"/>
  <c r="AF217" i="2"/>
  <c r="AD95" i="2"/>
  <c r="AF235" i="2"/>
  <c r="AG345" i="2"/>
  <c r="AD37" i="2"/>
  <c r="AD227" i="2"/>
  <c r="B319" i="5"/>
  <c r="AD221" i="2"/>
  <c r="E310" i="5"/>
  <c r="AD60" i="2"/>
  <c r="AF425" i="2"/>
  <c r="AB351" i="2"/>
  <c r="AB302" i="2"/>
  <c r="AG189" i="2"/>
  <c r="AA93" i="2"/>
  <c r="E193" i="5"/>
  <c r="B118" i="5"/>
  <c r="AC87" i="2"/>
  <c r="B205" i="5"/>
  <c r="AC141" i="2"/>
  <c r="AG63" i="2"/>
  <c r="AA153" i="2"/>
  <c r="AB274" i="2"/>
  <c r="B460" i="5"/>
  <c r="B385" i="5"/>
  <c r="AA234" i="2"/>
  <c r="B88" i="5"/>
  <c r="E382" i="5"/>
  <c r="AF226" i="2"/>
  <c r="AE54" i="2"/>
  <c r="B478" i="5"/>
  <c r="B379" i="5"/>
  <c r="B515" i="5"/>
  <c r="AD109" i="2"/>
  <c r="AE222" i="2"/>
  <c r="E513" i="5"/>
  <c r="AD93" i="2"/>
  <c r="B480" i="5"/>
  <c r="AA253" i="2"/>
  <c r="AF37" i="2"/>
  <c r="B342" i="5"/>
  <c r="AB115" i="2"/>
  <c r="AC461" i="2"/>
  <c r="AD171" i="2"/>
  <c r="AA79" i="2"/>
  <c r="E377" i="5"/>
  <c r="B293" i="5"/>
  <c r="AB60" i="2"/>
  <c r="AF144" i="2"/>
  <c r="AC75" i="2"/>
  <c r="AC387" i="2"/>
  <c r="B352" i="5"/>
  <c r="AC174" i="2"/>
  <c r="AF363" i="2"/>
  <c r="AE289" i="2"/>
  <c r="B303" i="5"/>
  <c r="B463" i="5"/>
  <c r="AE224" i="2"/>
  <c r="E220" i="5"/>
  <c r="AF201" i="2"/>
  <c r="AC143" i="2"/>
  <c r="AA54" i="2"/>
  <c r="AA90" i="2"/>
  <c r="E417" i="5"/>
  <c r="E413" i="5"/>
  <c r="B417" i="5"/>
  <c r="AB310" i="2"/>
  <c r="AF57" i="2"/>
  <c r="B230" i="5"/>
  <c r="AA115" i="2"/>
  <c r="AB242" i="2"/>
  <c r="AB283" i="2"/>
  <c r="AE80" i="2"/>
  <c r="E224" i="5"/>
  <c r="AB29" i="2"/>
  <c r="E476" i="5"/>
  <c r="AE275" i="2"/>
  <c r="AG78" i="2"/>
  <c r="E98" i="5"/>
  <c r="AD63" i="2"/>
  <c r="E188" i="5"/>
  <c r="AE386" i="2"/>
  <c r="E332" i="5"/>
  <c r="AB78" i="2"/>
  <c r="AB312" i="2"/>
  <c r="AB176" i="2"/>
  <c r="AB421" i="2"/>
  <c r="AC315" i="2"/>
  <c r="AA257" i="2"/>
  <c r="AA91" i="2"/>
  <c r="AB47" i="2"/>
  <c r="AG314" i="2"/>
  <c r="AG258" i="2"/>
  <c r="AA126" i="2"/>
  <c r="AE320" i="2"/>
  <c r="AE481" i="2"/>
  <c r="AE253" i="2"/>
  <c r="AC200" i="2"/>
  <c r="B133" i="5"/>
  <c r="AA62" i="2"/>
  <c r="AD239" i="2"/>
  <c r="B442" i="5"/>
  <c r="B196" i="5"/>
  <c r="B363" i="5"/>
  <c r="B345" i="5"/>
  <c r="AF248" i="2"/>
  <c r="B82" i="5"/>
  <c r="AB37" i="2"/>
  <c r="E415" i="5"/>
  <c r="AD276" i="2"/>
  <c r="AA365" i="2"/>
  <c r="AD300" i="2"/>
  <c r="AE256" i="2"/>
  <c r="AD254" i="2"/>
  <c r="AF191" i="2"/>
  <c r="AE112" i="2"/>
  <c r="B487" i="5"/>
  <c r="B67" i="5"/>
  <c r="AF106" i="2"/>
  <c r="E56" i="5"/>
  <c r="AA177" i="2"/>
  <c r="AC121" i="2"/>
  <c r="AG336" i="2"/>
  <c r="AC206" i="2"/>
  <c r="B33" i="5"/>
  <c r="E86" i="5"/>
  <c r="AA427" i="2"/>
  <c r="AF96" i="2"/>
  <c r="AD319" i="2"/>
  <c r="B97" i="5"/>
  <c r="E223" i="5"/>
  <c r="B483" i="5"/>
  <c r="AD50" i="2"/>
  <c r="E214" i="5"/>
  <c r="AA209" i="2"/>
  <c r="AG380" i="2"/>
  <c r="B195" i="5"/>
  <c r="B520" i="5"/>
  <c r="AE316" i="2"/>
  <c r="B490" i="5"/>
  <c r="B121" i="5"/>
  <c r="AA140" i="2"/>
  <c r="AC345" i="2"/>
  <c r="B323" i="5"/>
  <c r="AG257" i="2"/>
  <c r="AB278" i="2"/>
  <c r="AF214" i="2"/>
  <c r="AF145" i="2"/>
  <c r="B29" i="5"/>
  <c r="AD195" i="2"/>
  <c r="AD220" i="2"/>
  <c r="AF60" i="2"/>
  <c r="AA63" i="2"/>
  <c r="B330" i="5"/>
  <c r="AC442" i="2"/>
  <c r="AB98" i="2"/>
  <c r="AA268" i="2"/>
  <c r="B258" i="5"/>
  <c r="AG76" i="2"/>
  <c r="AE113" i="2"/>
  <c r="AG242" i="2"/>
  <c r="AC160" i="2"/>
  <c r="AF340" i="2"/>
  <c r="AC65" i="2"/>
  <c r="E32" i="5"/>
  <c r="AC61" i="2"/>
  <c r="AF132" i="2"/>
  <c r="AA138" i="2"/>
  <c r="E402" i="5"/>
  <c r="B145" i="5"/>
  <c r="AD293" i="2"/>
  <c r="AE198" i="2"/>
  <c r="AF269" i="2"/>
  <c r="AA58" i="2"/>
  <c r="AB370" i="2"/>
  <c r="AG326" i="2"/>
  <c r="E99" i="5"/>
  <c r="E43" i="5"/>
  <c r="B211" i="5"/>
  <c r="AE78" i="2"/>
  <c r="AG221" i="2"/>
  <c r="AC181" i="2"/>
  <c r="AD325" i="2"/>
  <c r="E208" i="5"/>
  <c r="AA218" i="2"/>
  <c r="AD140" i="2"/>
  <c r="B113" i="5"/>
  <c r="B129" i="5"/>
  <c r="AB329" i="2"/>
  <c r="AE181" i="2"/>
  <c r="AG275" i="2"/>
  <c r="AG286" i="2"/>
  <c r="AD240" i="2"/>
  <c r="AE200" i="2"/>
  <c r="AD94" i="2"/>
  <c r="AA228" i="2"/>
  <c r="AB248" i="2"/>
  <c r="AF118" i="2"/>
  <c r="E395" i="5"/>
  <c r="AA67" i="2"/>
  <c r="AG338" i="2"/>
  <c r="E305" i="5"/>
  <c r="AA147" i="2"/>
  <c r="E80" i="5"/>
  <c r="AG70" i="2"/>
  <c r="AB296" i="2"/>
  <c r="E353" i="5"/>
  <c r="AA416" i="2"/>
  <c r="B122" i="5"/>
  <c r="E299" i="5"/>
  <c r="AG410" i="2"/>
  <c r="AA438" i="2"/>
  <c r="AG354" i="2"/>
  <c r="AB220" i="2"/>
  <c r="AD342" i="2"/>
  <c r="AG60" i="2"/>
  <c r="E69" i="5"/>
  <c r="AG141" i="2"/>
  <c r="B388" i="5"/>
  <c r="AF119" i="2"/>
  <c r="AA174" i="2"/>
  <c r="AD62" i="2"/>
  <c r="E36" i="5"/>
  <c r="AC117" i="2"/>
  <c r="AF321" i="2"/>
  <c r="AB204" i="2"/>
  <c r="AG303" i="2"/>
  <c r="AG261" i="2"/>
  <c r="AB192" i="2"/>
  <c r="AA101" i="2"/>
  <c r="AG246" i="2"/>
  <c r="B130" i="5"/>
  <c r="AE201" i="2"/>
  <c r="AG435" i="2"/>
  <c r="AD349" i="2"/>
  <c r="AE59" i="2"/>
  <c r="AC425" i="2"/>
  <c r="AC364" i="2"/>
  <c r="AE259" i="2"/>
  <c r="AE60" i="2"/>
  <c r="AA287" i="2"/>
  <c r="B497" i="5"/>
  <c r="B144" i="5"/>
  <c r="AC285" i="2"/>
  <c r="AE270" i="2"/>
  <c r="AF127" i="2"/>
  <c r="AD132" i="2"/>
  <c r="AB289" i="2"/>
  <c r="E39" i="5"/>
  <c r="AG205" i="2"/>
  <c r="AB372" i="2"/>
  <c r="B296" i="5"/>
  <c r="AB473" i="2"/>
  <c r="AD82" i="2"/>
  <c r="B332" i="5"/>
  <c r="B302" i="5"/>
  <c r="E481" i="5"/>
  <c r="AD99" i="2"/>
  <c r="B441" i="5"/>
  <c r="B30" i="5"/>
  <c r="B444" i="5"/>
  <c r="AA391" i="2"/>
  <c r="AE280" i="2"/>
  <c r="B91" i="5"/>
  <c r="B246" i="5"/>
  <c r="AD158" i="2"/>
  <c r="AF39" i="2"/>
  <c r="AC226" i="2"/>
  <c r="AE97" i="2"/>
  <c r="AD367" i="2"/>
  <c r="AA88" i="2"/>
  <c r="AG51" i="2"/>
  <c r="AF190" i="2"/>
  <c r="AG50" i="2"/>
  <c r="B102" i="5"/>
  <c r="AG54" i="2"/>
  <c r="AF239" i="2"/>
  <c r="AE67" i="2"/>
  <c r="AB163" i="2"/>
  <c r="E386" i="5"/>
  <c r="AE29" i="2"/>
  <c r="AB191" i="2"/>
  <c r="B361" i="5"/>
  <c r="AA249" i="2"/>
  <c r="AD237" i="2"/>
  <c r="B498" i="5"/>
  <c r="B146" i="5"/>
  <c r="E179" i="5"/>
  <c r="AD264" i="2"/>
  <c r="AF263" i="2"/>
  <c r="B59" i="5"/>
  <c r="AF163" i="2"/>
  <c r="B305" i="5"/>
  <c r="AF376" i="2"/>
  <c r="E242" i="5"/>
  <c r="AE376" i="2"/>
  <c r="AE217" i="2"/>
  <c r="AC213" i="2"/>
  <c r="AG305" i="2"/>
  <c r="B457" i="5"/>
  <c r="B456" i="5"/>
  <c r="B114" i="5"/>
  <c r="AD410" i="2"/>
  <c r="E243" i="5"/>
  <c r="E439" i="5"/>
  <c r="AB160" i="2"/>
  <c r="E493" i="5"/>
  <c r="AA170" i="2"/>
  <c r="AD102" i="2"/>
  <c r="B75" i="5"/>
  <c r="AE245" i="2"/>
  <c r="AB144" i="2"/>
  <c r="B443" i="5"/>
  <c r="E162" i="5"/>
  <c r="AB49" i="2"/>
  <c r="AA207" i="2"/>
  <c r="E502" i="5"/>
  <c r="AE205" i="2"/>
  <c r="AF182" i="2"/>
  <c r="B234" i="5"/>
  <c r="E94" i="5"/>
  <c r="AF247" i="2"/>
  <c r="AG334" i="2"/>
  <c r="AF266" i="2"/>
  <c r="AE230" i="2"/>
  <c r="AG234" i="2"/>
  <c r="AF134" i="2"/>
  <c r="AE208" i="2"/>
  <c r="AB107" i="2"/>
  <c r="AE46" i="2"/>
  <c r="AG266" i="2"/>
  <c r="AF112" i="2"/>
  <c r="AF207" i="2"/>
  <c r="B39" i="5"/>
  <c r="AG255" i="2"/>
  <c r="E115" i="5"/>
  <c r="E461" i="5"/>
  <c r="AC326" i="2"/>
  <c r="AD429" i="2"/>
  <c r="AG280" i="2"/>
  <c r="AA136" i="2"/>
  <c r="AB186" i="2"/>
  <c r="E72" i="5"/>
  <c r="AB123" i="2"/>
  <c r="AC162" i="2"/>
  <c r="AF262" i="2"/>
  <c r="B167" i="5"/>
  <c r="AC228" i="2"/>
  <c r="AA426" i="2"/>
  <c r="B470" i="5"/>
  <c r="AG209" i="2"/>
  <c r="AC81" i="2"/>
  <c r="B245" i="5"/>
  <c r="E457" i="5"/>
  <c r="AC234" i="2"/>
  <c r="AB126" i="2"/>
  <c r="AB93" i="2"/>
  <c r="E484" i="5"/>
  <c r="E129" i="5"/>
  <c r="AA35" i="2"/>
  <c r="AB432" i="2"/>
  <c r="AC37" i="2"/>
  <c r="AG290" i="2"/>
  <c r="AA230" i="2"/>
  <c r="AF104" i="2"/>
  <c r="AE108" i="2"/>
  <c r="E400" i="5"/>
  <c r="AB285" i="2"/>
  <c r="AG88" i="2"/>
  <c r="AB141" i="2"/>
  <c r="E114" i="5"/>
  <c r="B60" i="5"/>
  <c r="B425" i="5"/>
  <c r="AB165" i="2"/>
  <c r="AD454" i="2"/>
  <c r="E359" i="5"/>
  <c r="B214" i="5"/>
  <c r="B199" i="5"/>
  <c r="E453" i="5"/>
  <c r="B78" i="5"/>
  <c r="AA173" i="2"/>
  <c r="AA407" i="2"/>
  <c r="AF130" i="2"/>
  <c r="AA31" i="2"/>
  <c r="B409" i="5"/>
  <c r="B109" i="5"/>
  <c r="AD181" i="2"/>
  <c r="AG75" i="2"/>
  <c r="B348" i="5"/>
  <c r="B151" i="5"/>
  <c r="AA376" i="2"/>
  <c r="AC124" i="2"/>
  <c r="E130" i="5"/>
  <c r="B221" i="5"/>
  <c r="AA49" i="2"/>
  <c r="AA85" i="2"/>
  <c r="AG476" i="2"/>
  <c r="AB42" i="2"/>
  <c r="AG204" i="2"/>
  <c r="AA143" i="2"/>
  <c r="AF177" i="2"/>
  <c r="E222" i="5"/>
  <c r="B472" i="5"/>
  <c r="AC240" i="2"/>
  <c r="AB250" i="2"/>
  <c r="B252" i="5"/>
  <c r="AB241" i="2"/>
  <c r="AA87" i="2"/>
  <c r="AD119" i="2"/>
  <c r="AG327" i="2"/>
  <c r="AE456" i="2"/>
  <c r="AD74" i="2"/>
  <c r="AC29" i="2"/>
  <c r="E109" i="5"/>
  <c r="AF194" i="2"/>
  <c r="AE301" i="2"/>
  <c r="AB226" i="2"/>
  <c r="AB333" i="2"/>
  <c r="AB227" i="2"/>
  <c r="AG61" i="2"/>
  <c r="AG387" i="2"/>
  <c r="AG133" i="2"/>
  <c r="AG181" i="2"/>
  <c r="AD138" i="2"/>
  <c r="AF71" i="2"/>
  <c r="AG79" i="2"/>
  <c r="AE313" i="2"/>
  <c r="AB129" i="2"/>
  <c r="B79" i="5"/>
  <c r="AE163" i="2"/>
  <c r="AG102" i="2"/>
  <c r="E405" i="5"/>
  <c r="E391" i="5"/>
  <c r="E436" i="5"/>
  <c r="AC427" i="2"/>
  <c r="AA375" i="2"/>
  <c r="AD45" i="2"/>
  <c r="AC108" i="2"/>
  <c r="AF326" i="2"/>
  <c r="AA156" i="2"/>
  <c r="AF388" i="2"/>
  <c r="AC440" i="2"/>
  <c r="AB156" i="2"/>
  <c r="AD70" i="2"/>
  <c r="AA149" i="2"/>
  <c r="E177" i="5"/>
  <c r="AF372" i="2"/>
  <c r="E133" i="5"/>
  <c r="AB118" i="2"/>
  <c r="AF99" i="2"/>
  <c r="AC40" i="2"/>
  <c r="B400" i="5"/>
  <c r="B96" i="5"/>
  <c r="B501" i="5"/>
  <c r="AC60" i="2"/>
  <c r="AA352" i="2"/>
  <c r="AG58" i="2"/>
  <c r="AB67" i="2"/>
  <c r="AG183" i="2"/>
  <c r="AB371" i="2"/>
  <c r="AF135" i="2"/>
  <c r="AD285" i="2"/>
  <c r="AE138" i="2"/>
  <c r="AA43" i="2"/>
  <c r="B42" i="5"/>
  <c r="AC232" i="2"/>
  <c r="AE363" i="2"/>
  <c r="AD235" i="2"/>
  <c r="B182" i="5"/>
  <c r="B406" i="5"/>
  <c r="E411" i="5"/>
  <c r="B309" i="5"/>
  <c r="AC230" i="2"/>
  <c r="B374" i="5"/>
  <c r="E191" i="5"/>
  <c r="AC191" i="2"/>
  <c r="B466" i="5"/>
  <c r="E65" i="5"/>
  <c r="AE305" i="2"/>
  <c r="AE338" i="2"/>
  <c r="AD107" i="2"/>
  <c r="B224" i="5"/>
  <c r="B90" i="5"/>
  <c r="AG324" i="2"/>
  <c r="AF323" i="2"/>
  <c r="B325" i="5"/>
  <c r="AA60" i="2"/>
  <c r="AC36" i="2"/>
  <c r="AB414" i="2"/>
  <c r="AC148" i="2"/>
  <c r="E112" i="5"/>
  <c r="AC400" i="2"/>
  <c r="AG374" i="2"/>
  <c r="AG198" i="2"/>
  <c r="AC122" i="2"/>
  <c r="AG32" i="2"/>
  <c r="AF276" i="2"/>
  <c r="AE243" i="2"/>
  <c r="B105" i="5"/>
  <c r="B521" i="5"/>
  <c r="AG222" i="2"/>
  <c r="AD358" i="2"/>
  <c r="B70" i="5"/>
  <c r="AD453" i="2"/>
  <c r="AB258" i="2"/>
  <c r="AA141" i="2"/>
  <c r="AE358" i="2"/>
  <c r="AF299" i="2"/>
  <c r="B373" i="5"/>
  <c r="B175" i="5"/>
  <c r="AE199" i="2"/>
  <c r="AA395" i="2"/>
  <c r="AB318" i="2"/>
  <c r="AE102" i="2"/>
  <c r="AA42" i="2"/>
  <c r="AE79" i="2"/>
  <c r="AE44" i="2"/>
  <c r="B518" i="5"/>
  <c r="B428" i="5"/>
  <c r="B432" i="5"/>
  <c r="AC334" i="2"/>
  <c r="AF151" i="2"/>
  <c r="E82" i="5"/>
  <c r="AC374" i="2"/>
  <c r="AC93" i="2"/>
  <c r="AB135" i="2"/>
  <c r="AE93" i="2"/>
  <c r="E88" i="5"/>
  <c r="B166" i="5"/>
  <c r="B512" i="5"/>
  <c r="AC207" i="2"/>
  <c r="B43" i="5"/>
  <c r="AE398" i="2"/>
  <c r="AF82" i="2"/>
  <c r="AG46" i="2"/>
  <c r="E487" i="5"/>
  <c r="B440" i="5"/>
  <c r="AF198" i="2"/>
  <c r="B189" i="5"/>
  <c r="B391" i="5"/>
  <c r="AB104" i="2"/>
  <c r="AD185" i="2"/>
  <c r="E92" i="5"/>
  <c r="AD216" i="2"/>
  <c r="B198" i="5"/>
  <c r="AB197" i="2"/>
  <c r="AE373" i="2"/>
  <c r="E96" i="5"/>
  <c r="AE295" i="2"/>
  <c r="AC317" i="2"/>
  <c r="E380" i="5"/>
  <c r="E245" i="5"/>
  <c r="B496" i="5"/>
  <c r="B468" i="5"/>
  <c r="AA232" i="2"/>
  <c r="E326" i="5"/>
  <c r="AE452" i="2"/>
  <c r="AE194" i="2"/>
  <c r="AA256" i="2"/>
  <c r="B89" i="5"/>
  <c r="B73" i="5"/>
  <c r="AB463" i="2"/>
  <c r="AC218" i="2"/>
  <c r="B202" i="5"/>
  <c r="AG47" i="2"/>
  <c r="AF206" i="2"/>
  <c r="AG190" i="2"/>
  <c r="E464" i="5"/>
  <c r="AG318" i="2"/>
  <c r="AE264" i="2"/>
  <c r="AF287" i="2"/>
  <c r="B376" i="5"/>
  <c r="AG333" i="2"/>
  <c r="E241" i="5"/>
  <c r="AF40" i="2"/>
  <c r="AG77" i="2"/>
  <c r="AD77" i="2"/>
  <c r="B517" i="5"/>
  <c r="AD288" i="2"/>
  <c r="AD204" i="2"/>
  <c r="AC303" i="2"/>
  <c r="AC358" i="2"/>
  <c r="AB159" i="2"/>
  <c r="B312" i="5"/>
  <c r="AE366" i="2"/>
  <c r="B341" i="5"/>
  <c r="B395" i="5"/>
  <c r="AE31" i="2"/>
  <c r="AD124" i="2"/>
  <c r="B100" i="5"/>
  <c r="AE170" i="2"/>
  <c r="E296" i="5"/>
  <c r="AA185" i="2"/>
  <c r="AF260" i="2"/>
  <c r="AA428" i="2"/>
  <c r="B148" i="5"/>
  <c r="AG125" i="2"/>
  <c r="AG235" i="2"/>
  <c r="AD458" i="2"/>
  <c r="AF141" i="2"/>
  <c r="AB382" i="2"/>
  <c r="AF370" i="2"/>
  <c r="B226" i="5"/>
  <c r="B147" i="5"/>
  <c r="AC79" i="2"/>
  <c r="AC423" i="2"/>
  <c r="AB56" i="2"/>
  <c r="AG368" i="2"/>
  <c r="AC49" i="2"/>
  <c r="AF32" i="2"/>
  <c r="AA448" i="2"/>
  <c r="B479" i="5"/>
  <c r="E471" i="5"/>
  <c r="B81" i="5"/>
  <c r="AC385" i="2"/>
  <c r="B295" i="5"/>
  <c r="AG126" i="2"/>
  <c r="E254" i="5"/>
  <c r="E235" i="5"/>
  <c r="AD182" i="2"/>
  <c r="AD176" i="2"/>
  <c r="B525" i="5"/>
  <c r="AA265" i="2"/>
  <c r="E113" i="5"/>
  <c r="AA99" i="2"/>
  <c r="AC44" i="2"/>
  <c r="AG408" i="2"/>
  <c r="AC316" i="2"/>
  <c r="E419" i="5"/>
  <c r="E227" i="5"/>
  <c r="B93" i="5"/>
  <c r="AE57" i="2"/>
  <c r="AB103" i="2"/>
  <c r="AD207" i="2"/>
  <c r="E301" i="5"/>
  <c r="AC177" i="2"/>
  <c r="AA73" i="2"/>
  <c r="AC78" i="2"/>
  <c r="AD252" i="2"/>
  <c r="B471" i="5"/>
  <c r="AC287" i="2"/>
  <c r="AC80" i="2"/>
  <c r="AG72" i="2"/>
  <c r="B55" i="5"/>
  <c r="AD481" i="2"/>
  <c r="E428" i="5"/>
  <c r="AF43" i="2"/>
  <c r="AB293" i="2"/>
  <c r="E215" i="5"/>
  <c r="AC330" i="2"/>
  <c r="AA310" i="2"/>
  <c r="AE221" i="2"/>
  <c r="AA198" i="2"/>
  <c r="AA394" i="2"/>
  <c r="AA164" i="2"/>
  <c r="B382" i="5"/>
  <c r="AG113" i="2"/>
  <c r="AA100" i="2"/>
  <c r="AF35" i="2"/>
  <c r="B355" i="5"/>
  <c r="AC237" i="2"/>
  <c r="AB444" i="2"/>
  <c r="AA107" i="2"/>
  <c r="AC338" i="2"/>
  <c r="AG68" i="2"/>
  <c r="AE277" i="2"/>
  <c r="AC50" i="2"/>
  <c r="B168" i="5"/>
  <c r="AD136" i="2"/>
  <c r="AB143" i="2"/>
  <c r="AB460" i="2"/>
  <c r="AD91" i="2"/>
  <c r="E75" i="5"/>
  <c r="AA193" i="2"/>
  <c r="B150" i="5"/>
  <c r="AG187" i="2"/>
  <c r="AC322" i="2"/>
  <c r="B516" i="5"/>
  <c r="AG108" i="2"/>
  <c r="AG299" i="2"/>
  <c r="E238" i="5"/>
  <c r="E100" i="5"/>
  <c r="AC195" i="2"/>
  <c r="AG35" i="2"/>
  <c r="E486" i="5"/>
  <c r="AC314" i="2"/>
  <c r="AF44" i="2"/>
  <c r="AE204" i="2"/>
  <c r="AA336" i="2"/>
  <c r="AF189" i="1"/>
  <c r="AD286" i="2"/>
  <c r="AA189" i="2"/>
  <c r="AC127" i="2"/>
  <c r="AE133" i="2"/>
  <c r="AC295" i="2"/>
  <c r="E518" i="5"/>
  <c r="AA113" i="2"/>
  <c r="AG109" i="2"/>
  <c r="E111" i="5"/>
  <c r="AD165" i="2"/>
  <c r="AD339" i="2"/>
  <c r="AC66" i="2"/>
  <c r="AA176" i="2"/>
  <c r="AE479" i="2"/>
  <c r="AB100" i="2"/>
  <c r="E489" i="5"/>
  <c r="AE150" i="2"/>
  <c r="AF261" i="2"/>
  <c r="AE83" i="2"/>
  <c r="AF124" i="2"/>
  <c r="AA259" i="2"/>
  <c r="AE107" i="2"/>
  <c r="AD152" i="2"/>
  <c r="AE116" i="2"/>
  <c r="AG296" i="2"/>
  <c r="E59" i="5"/>
  <c r="AC254" i="2"/>
  <c r="AC73" i="2"/>
  <c r="AE117" i="2"/>
  <c r="E364" i="5"/>
  <c r="B72" i="5"/>
  <c r="E501" i="5"/>
  <c r="AG243" i="2"/>
  <c r="AB245" i="2"/>
  <c r="E517" i="5"/>
  <c r="B454" i="5"/>
  <c r="E433" i="5"/>
  <c r="AB105" i="2"/>
  <c r="AD282" i="2"/>
  <c r="AF85" i="2"/>
  <c r="E398" i="5"/>
  <c r="AG210" i="2"/>
  <c r="AF210" i="2"/>
  <c r="E470" i="5"/>
  <c r="E309" i="5"/>
  <c r="AG59" i="2"/>
  <c r="AE81" i="2"/>
  <c r="B390" i="5"/>
  <c r="AE187" i="2"/>
  <c r="AB294" i="2"/>
  <c r="B243" i="5"/>
  <c r="AB207" i="2"/>
  <c r="E500" i="5"/>
  <c r="AD31" i="2"/>
  <c r="E57" i="5"/>
  <c r="AD268" i="2"/>
  <c r="AC222" i="2"/>
  <c r="B248" i="5"/>
  <c r="E77" i="5"/>
  <c r="AD417" i="2"/>
  <c r="E442" i="5"/>
  <c r="E345" i="5"/>
  <c r="B57" i="5"/>
  <c r="AD463" i="2"/>
  <c r="AA329" i="2"/>
  <c r="E28" i="5"/>
  <c r="AG31" i="2"/>
  <c r="AF91" i="2"/>
  <c r="AA300" i="2"/>
  <c r="AC198" i="2"/>
  <c r="AB276" i="2"/>
  <c r="AF189" i="2"/>
  <c r="E416" i="5"/>
  <c r="AB106" i="2"/>
  <c r="AB30" i="2"/>
  <c r="AD211" i="2"/>
  <c r="AE267" i="2"/>
  <c r="AG454" i="2"/>
  <c r="AA321" i="2"/>
  <c r="AA190" i="2"/>
  <c r="E123" i="5"/>
  <c r="AF87" i="2"/>
  <c r="B346" i="5"/>
  <c r="B249" i="5"/>
  <c r="AE312" i="2"/>
  <c r="AE325" i="2"/>
  <c r="AG53" i="2"/>
  <c r="AF160" i="2"/>
  <c r="AB379" i="2"/>
  <c r="AD144" i="2"/>
  <c r="B327" i="5"/>
  <c r="AA167" i="2"/>
  <c r="E62" i="5"/>
  <c r="E294" i="5"/>
  <c r="AB95" i="2"/>
  <c r="AA71" i="2"/>
  <c r="AB188" i="2"/>
  <c r="AA120" i="2"/>
  <c r="AB221" i="2"/>
  <c r="AG364" i="2"/>
  <c r="AF46" i="2"/>
  <c r="AF303" i="2"/>
  <c r="AF327" i="2"/>
  <c r="AE110" i="2"/>
  <c r="E159" i="5"/>
  <c r="AA282" i="2"/>
  <c r="E317" i="5"/>
  <c r="B174" i="5"/>
  <c r="AB387" i="2"/>
  <c r="AF316" i="2"/>
  <c r="AB172" i="2"/>
  <c r="AD42" i="2"/>
  <c r="AE218" i="2"/>
  <c r="AE209" i="2"/>
  <c r="AC89" i="2"/>
  <c r="AF265" i="2"/>
  <c r="AD183" i="2"/>
  <c r="AD215" i="2"/>
  <c r="AG186" i="2"/>
  <c r="AA131" i="2"/>
  <c r="B112" i="5"/>
  <c r="AB217" i="2"/>
  <c r="AG215" i="2"/>
  <c r="E394" i="5"/>
  <c r="E335" i="5"/>
  <c r="AD47" i="2"/>
  <c r="AE246" i="2"/>
  <c r="AF477" i="2"/>
  <c r="AA47" i="2"/>
  <c r="E374" i="5"/>
  <c r="AG378" i="2"/>
  <c r="AG307" i="2"/>
  <c r="AG276" i="2"/>
  <c r="B311" i="5"/>
  <c r="E166" i="5"/>
  <c r="B201" i="5"/>
  <c r="E522" i="5"/>
  <c r="AC92" i="2"/>
  <c r="AD344" i="2"/>
  <c r="AE130" i="2"/>
  <c r="AE215" i="2"/>
  <c r="E174" i="5"/>
  <c r="AB145" i="2"/>
  <c r="AE32" i="2"/>
  <c r="AF216" i="2"/>
  <c r="AB237" i="2"/>
  <c r="E183" i="5"/>
  <c r="AB282" i="2"/>
  <c r="E233" i="5"/>
  <c r="AG69" i="2"/>
  <c r="B398" i="5"/>
  <c r="AF359" i="2"/>
  <c r="AA440" i="2"/>
  <c r="B510" i="5"/>
  <c r="AA382" i="2"/>
  <c r="AC107" i="2"/>
  <c r="B462" i="5"/>
  <c r="AC62" i="2"/>
  <c r="AB62" i="2"/>
  <c r="E446" i="5"/>
  <c r="B514" i="5"/>
  <c r="AA212" i="2"/>
  <c r="AG213" i="2"/>
  <c r="AD113" i="2"/>
  <c r="AC161" i="2"/>
  <c r="E421" i="5"/>
  <c r="AC312" i="2"/>
  <c r="AC431" i="2"/>
  <c r="AE252" i="2"/>
  <c r="AC101" i="2"/>
  <c r="AE342" i="2"/>
  <c r="AF53" i="2"/>
  <c r="B232" i="5"/>
  <c r="AD56" i="2"/>
  <c r="AE126" i="2"/>
  <c r="AD88" i="2"/>
  <c r="AC63" i="2"/>
  <c r="AB365" i="2"/>
  <c r="B451" i="5"/>
  <c r="AC418" i="2"/>
  <c r="AD302" i="2"/>
  <c r="AD191" i="2"/>
  <c r="AF381" i="2"/>
  <c r="AE45" i="2"/>
  <c r="AB247" i="2"/>
  <c r="B492" i="5"/>
  <c r="AF339" i="2"/>
  <c r="B384" i="5"/>
  <c r="E445" i="5"/>
  <c r="AD126" i="2"/>
  <c r="AC116" i="2"/>
  <c r="AD121" i="2"/>
  <c r="B387" i="5"/>
  <c r="B155" i="5"/>
  <c r="AE351" i="2"/>
  <c r="AB182" i="2"/>
  <c r="E463" i="5"/>
  <c r="AG137" i="2"/>
  <c r="AA324" i="2"/>
  <c r="B431" i="5"/>
  <c r="E375" i="5"/>
  <c r="AB44" i="2"/>
  <c r="B188" i="5"/>
  <c r="AG49" i="2"/>
  <c r="AD167" i="2"/>
  <c r="AC34" i="2"/>
  <c r="AE432" i="2"/>
  <c r="AA121" i="2"/>
  <c r="AC100" i="2"/>
  <c r="AG104" i="2"/>
  <c r="AE415" i="2"/>
  <c r="AC134" i="2"/>
  <c r="AF125" i="2"/>
  <c r="AB468" i="2"/>
  <c r="B500" i="5"/>
  <c r="AB45" i="2"/>
  <c r="AG97" i="2"/>
  <c r="AB233" i="2"/>
  <c r="E320" i="5"/>
  <c r="AA195" i="2"/>
  <c r="E186" i="5"/>
  <c r="B247" i="5"/>
  <c r="AC324" i="2"/>
  <c r="AB111" i="2"/>
  <c r="AC293" i="2"/>
  <c r="AE168" i="2"/>
  <c r="AD208" i="2"/>
  <c r="AD408" i="2"/>
  <c r="AE310" i="2"/>
  <c r="AF187" i="2"/>
  <c r="AE94" i="2"/>
  <c r="B402" i="5"/>
  <c r="AC43" i="2"/>
  <c r="B394" i="5"/>
  <c r="E349" i="5"/>
  <c r="AC231" i="2"/>
  <c r="AB166" i="2"/>
  <c r="AF77" i="2"/>
  <c r="B328" i="5"/>
  <c r="AA372" i="2"/>
  <c r="E125" i="5"/>
  <c r="B310" i="5"/>
  <c r="B154" i="5"/>
  <c r="AB478" i="2"/>
  <c r="AA204" i="2"/>
  <c r="AA334" i="2"/>
  <c r="AA129" i="2"/>
  <c r="AC215" i="2"/>
  <c r="E132" i="5"/>
  <c r="AE427" i="2"/>
  <c r="AE336" i="2"/>
  <c r="E443" i="5"/>
  <c r="AF420" i="2"/>
  <c r="E444" i="5"/>
  <c r="AF249" i="2"/>
  <c r="AB317" i="2"/>
  <c r="B126" i="5"/>
  <c r="AE212" i="2"/>
  <c r="B119" i="5"/>
  <c r="AF58" i="2"/>
  <c r="B183" i="5"/>
  <c r="AA323" i="2"/>
  <c r="E389" i="5"/>
  <c r="AE147" i="2"/>
  <c r="AE86" i="2"/>
  <c r="AC242" i="2"/>
  <c r="AD244" i="2"/>
  <c r="E213" i="5"/>
  <c r="AE266" i="2"/>
  <c r="B372" i="5"/>
  <c r="B393" i="5"/>
  <c r="AD397" i="2"/>
  <c r="AA417" i="2"/>
  <c r="AC58" i="2"/>
  <c r="AC74" i="2"/>
  <c r="AG44" i="2"/>
  <c r="E491" i="5"/>
  <c r="AF65" i="2"/>
  <c r="AE123" i="2"/>
  <c r="E253" i="5"/>
  <c r="B41" i="5"/>
  <c r="AB152" i="2"/>
  <c r="AB391" i="2"/>
  <c r="AA297" i="2"/>
  <c r="B427" i="5"/>
  <c r="AB35" i="2"/>
  <c r="AG300" i="2"/>
  <c r="AD96" i="2"/>
  <c r="AA350" i="2"/>
  <c r="AB112" i="2"/>
  <c r="B157" i="5"/>
  <c r="AB205" i="2"/>
  <c r="AE228" i="2"/>
  <c r="E151" i="5"/>
  <c r="AC420" i="2"/>
  <c r="AF122" i="2"/>
  <c r="AE226" i="2"/>
  <c r="AG195" i="2"/>
  <c r="AB340" i="2"/>
  <c r="AA183" i="2"/>
  <c r="E41" i="5"/>
  <c r="AA219" i="2"/>
  <c r="AC77" i="2"/>
  <c r="AF416" i="2"/>
  <c r="AG239" i="2"/>
  <c r="AE424" i="2"/>
  <c r="B397" i="5"/>
  <c r="AB148" i="2"/>
  <c r="AA160" i="2"/>
  <c r="AB356" i="2"/>
  <c r="AD154" i="2"/>
  <c r="AF208" i="2"/>
  <c r="E143" i="5"/>
  <c r="AG399" i="2"/>
  <c r="AB178" i="2"/>
  <c r="AD92" i="2"/>
  <c r="AE461" i="2"/>
  <c r="AF384" i="2"/>
  <c r="AE43" i="2"/>
  <c r="AC202" i="2"/>
  <c r="AA367" i="2"/>
  <c r="AG231" i="2"/>
  <c r="AB175" i="2"/>
  <c r="AG214" i="2"/>
  <c r="AE87" i="2"/>
  <c r="E295" i="5"/>
  <c r="E344" i="5"/>
  <c r="AB410" i="2"/>
  <c r="AG129" i="2"/>
  <c r="AG238" i="2"/>
  <c r="AC104" i="2"/>
  <c r="AG381" i="2"/>
  <c r="AG160" i="2"/>
  <c r="AC203" i="2"/>
  <c r="AD279" i="2"/>
  <c r="AF139" i="2"/>
  <c r="B344" i="5"/>
  <c r="AD238" i="2"/>
  <c r="AA468" i="2"/>
  <c r="B194" i="5"/>
  <c r="AD52" i="2"/>
  <c r="AB376" i="2"/>
  <c r="B335" i="5"/>
  <c r="AG71" i="2"/>
  <c r="B320" i="5"/>
  <c r="AF193" i="2"/>
  <c r="AA145" i="2"/>
  <c r="AF424" i="2"/>
  <c r="E137" i="5"/>
  <c r="AG422" i="2"/>
  <c r="AC236" i="2"/>
  <c r="AG93" i="2"/>
  <c r="AB406" i="2"/>
  <c r="B135" i="5"/>
  <c r="E110" i="5"/>
  <c r="B124" i="5"/>
  <c r="AE219" i="2"/>
  <c r="AB132" i="2"/>
  <c r="E170" i="5"/>
  <c r="AB70" i="2"/>
  <c r="AC106" i="2"/>
  <c r="AB459" i="2"/>
  <c r="AB170" i="2"/>
  <c r="AA443" i="2"/>
  <c r="AB415" i="2"/>
  <c r="B336" i="5"/>
  <c r="AC155" i="2"/>
  <c r="AF181" i="2"/>
  <c r="AF351" i="2"/>
  <c r="AE225" i="2"/>
  <c r="AB65" i="2"/>
  <c r="B31" i="5"/>
  <c r="AE462" i="2"/>
  <c r="E30" i="5"/>
  <c r="AD223" i="2"/>
  <c r="AE370" i="2"/>
  <c r="E319" i="5"/>
  <c r="AE281" i="2"/>
  <c r="AB342" i="2"/>
  <c r="AD317" i="2"/>
  <c r="E308" i="5"/>
  <c r="AD224" i="2"/>
  <c r="AD284" i="2"/>
  <c r="B92" i="5"/>
  <c r="E230" i="5"/>
  <c r="AD281" i="2"/>
  <c r="AE423" i="2"/>
  <c r="AD247" i="2"/>
  <c r="E304" i="5"/>
  <c r="AE404" i="2"/>
  <c r="B197" i="5"/>
  <c r="AA33" i="2"/>
  <c r="AA292" i="2"/>
  <c r="AB158" i="2"/>
  <c r="E146" i="5"/>
  <c r="AC128" i="2"/>
  <c r="AF429" i="2"/>
  <c r="B482" i="5"/>
  <c r="E420" i="5"/>
  <c r="B134" i="5"/>
  <c r="E378" i="5"/>
  <c r="B190" i="5"/>
  <c r="AE350" i="2"/>
  <c r="AF320" i="2"/>
  <c r="AE346" i="2"/>
  <c r="AE402" i="2"/>
  <c r="AE100" i="2"/>
  <c r="AE140" i="2"/>
  <c r="AD478" i="2"/>
  <c r="AF164" i="2"/>
  <c r="B186" i="5"/>
  <c r="AA222" i="2"/>
  <c r="AD405" i="2"/>
  <c r="AD275" i="2"/>
  <c r="AA168" i="2"/>
  <c r="AA194" i="2"/>
  <c r="AF463" i="2"/>
  <c r="AD228" i="2"/>
  <c r="AB183" i="2"/>
  <c r="E31" i="5"/>
  <c r="E508" i="5"/>
  <c r="AB375" i="2"/>
  <c r="B28" i="5"/>
  <c r="AG202" i="2"/>
  <c r="AC376" i="2"/>
  <c r="AA51" i="2"/>
  <c r="B313" i="5"/>
  <c r="B56" i="5"/>
  <c r="AC278" i="2"/>
  <c r="B259" i="5"/>
  <c r="AD178" i="2"/>
  <c r="AF176" i="2"/>
  <c r="AC88" i="2"/>
  <c r="E66" i="5"/>
  <c r="AD29" i="2"/>
  <c r="AE367" i="2"/>
  <c r="AD188" i="2"/>
  <c r="AB330" i="2"/>
  <c r="B418" i="5"/>
  <c r="AF162" i="2"/>
  <c r="E521" i="5"/>
  <c r="AC463" i="2"/>
  <c r="AA236" i="2"/>
  <c r="AA48" i="2"/>
  <c r="AE388" i="2"/>
  <c r="B506" i="5"/>
  <c r="AE354" i="2"/>
  <c r="AB229" i="2"/>
  <c r="AG145" i="2"/>
  <c r="AD68" i="2"/>
  <c r="AC259" i="2"/>
  <c r="E127" i="5"/>
  <c r="B208" i="5"/>
  <c r="AF152" i="2"/>
  <c r="AB151" i="2"/>
  <c r="AA464" i="2"/>
  <c r="AD105" i="2"/>
  <c r="E121" i="5"/>
  <c r="AC199" i="2"/>
  <c r="AB76" i="2"/>
  <c r="B494" i="5"/>
  <c r="AG103" i="2"/>
  <c r="AF317" i="2"/>
  <c r="E472" i="5"/>
  <c r="E248" i="5"/>
  <c r="AA368" i="2"/>
  <c r="B153" i="5"/>
  <c r="B111" i="5"/>
  <c r="B491" i="5"/>
  <c r="AC194" i="2"/>
  <c r="AD118" i="2"/>
  <c r="AC247" i="2"/>
  <c r="E328" i="5"/>
  <c r="AF218" i="2"/>
  <c r="B507" i="5"/>
  <c r="B407" i="5"/>
  <c r="B106" i="5"/>
  <c r="AF348" i="2"/>
  <c r="E516" i="5"/>
  <c r="E187" i="5"/>
  <c r="AA434" i="2"/>
  <c r="AF213" i="2"/>
  <c r="AB249" i="2"/>
  <c r="B392" i="5"/>
  <c r="AE265" i="2"/>
  <c r="AB261" i="2"/>
  <c r="AD66" i="2"/>
  <c r="AB173" i="2"/>
  <c r="E207" i="5"/>
  <c r="AA205" i="2"/>
  <c r="B131" i="5"/>
  <c r="E318" i="5"/>
  <c r="E173" i="5"/>
  <c r="AB461" i="2"/>
  <c r="AG201" i="2"/>
  <c r="AA41" i="2"/>
  <c r="AG298" i="2"/>
  <c r="AF305" i="2"/>
  <c r="AF391" i="2"/>
  <c r="AE68" i="2"/>
  <c r="E83" i="5"/>
  <c r="E331" i="5"/>
  <c r="AG52" i="2"/>
  <c r="AF103" i="2"/>
  <c r="B191" i="5"/>
  <c r="AD72" i="2"/>
  <c r="AA103" i="2"/>
  <c r="AF67" i="2"/>
  <c r="AC110" i="2"/>
  <c r="AG173" i="2"/>
  <c r="E307" i="5"/>
  <c r="E185" i="5"/>
  <c r="B172" i="5"/>
  <c r="AC477" i="2"/>
  <c r="AA344" i="2"/>
  <c r="AC86" i="2"/>
  <c r="AG358" i="2"/>
  <c r="E145" i="5"/>
  <c r="AD248" i="2"/>
  <c r="E297" i="5"/>
  <c r="AB140" i="1"/>
  <c r="E196" i="5"/>
  <c r="AG341" i="2"/>
  <c r="AG218" i="2"/>
  <c r="AF188" i="2"/>
  <c r="E221" i="5"/>
  <c r="AF330" i="2"/>
  <c r="AG111" i="2"/>
  <c r="E342" i="5"/>
  <c r="AG87" i="2"/>
  <c r="AD173" i="2"/>
  <c r="E330" i="5"/>
  <c r="E480" i="5"/>
  <c r="AC145" i="2"/>
  <c r="AB161" i="2"/>
  <c r="AC76" i="2"/>
  <c r="AF158" i="2"/>
  <c r="AE283" i="2"/>
  <c r="AC157" i="2"/>
  <c r="AF336" i="2"/>
  <c r="B403" i="5"/>
  <c r="AG122" i="2"/>
  <c r="AG188" i="2"/>
  <c r="AC190" i="2"/>
  <c r="AE142" i="2"/>
  <c r="E441" i="5"/>
  <c r="E252" i="5"/>
  <c r="AF66" i="2"/>
  <c r="AC33" i="2"/>
  <c r="AE176" i="2"/>
  <c r="AF54" i="2"/>
  <c r="AE407" i="2"/>
  <c r="AG241" i="2"/>
  <c r="AF219" i="2"/>
  <c r="AB225" i="2"/>
  <c r="B116" i="5"/>
  <c r="AA239" i="2"/>
  <c r="AD184" i="2"/>
  <c r="B455" i="5"/>
  <c r="AB268" i="2"/>
  <c r="AF282" i="2"/>
  <c r="AD475" i="2"/>
  <c r="AE115" i="2"/>
  <c r="AA315" i="2"/>
  <c r="AD219" i="2"/>
  <c r="B353" i="5"/>
  <c r="B326" i="5"/>
  <c r="AB108" i="2"/>
  <c r="AG163" i="2"/>
  <c r="AA260" i="2"/>
  <c r="AD110" i="2"/>
  <c r="AE276" i="2"/>
  <c r="AD295" i="2"/>
  <c r="AA216" i="2"/>
  <c r="E406" i="5"/>
  <c r="AD104" i="2"/>
  <c r="AD283" i="2"/>
  <c r="AF368" i="2"/>
  <c r="B125" i="5"/>
  <c r="AC459" i="2"/>
  <c r="AD287" i="2"/>
  <c r="AF209" i="2"/>
  <c r="AA377" i="2"/>
  <c r="AF52" i="2"/>
  <c r="AB451" i="2"/>
  <c r="AC327" i="2"/>
  <c r="AB91" i="2"/>
  <c r="AE248" i="2"/>
  <c r="E361" i="5"/>
  <c r="AD192" i="2"/>
  <c r="AA217" i="2"/>
  <c r="E372" i="5"/>
  <c r="AE156" i="2"/>
  <c r="AF29" i="2"/>
  <c r="AB209" i="2"/>
  <c r="AG105" i="2"/>
  <c r="AA273" i="2"/>
  <c r="AG121" i="2"/>
  <c r="B50" i="5"/>
  <c r="B429" i="5"/>
  <c r="AG92" i="2"/>
  <c r="AG135" i="2"/>
  <c r="AA74" i="2"/>
  <c r="B368" i="5"/>
  <c r="B324" i="5"/>
  <c r="AF95" i="2"/>
  <c r="B458" i="5"/>
  <c r="AA214" i="2"/>
  <c r="B192" i="5"/>
  <c r="AA419" i="2"/>
  <c r="AC356" i="2"/>
  <c r="AB443" i="2"/>
  <c r="E219" i="5"/>
  <c r="B446" i="5"/>
  <c r="AE379" i="2"/>
  <c r="E410" i="5"/>
  <c r="B356" i="5"/>
  <c r="AC366" i="2"/>
  <c r="AF167" i="2"/>
  <c r="AB314" i="2"/>
  <c r="AB215" i="2"/>
  <c r="E437" i="5"/>
  <c r="AC389" i="2"/>
  <c r="AD466" i="2"/>
  <c r="AE247" i="2"/>
  <c r="AA45" i="2"/>
  <c r="AA322" i="2"/>
  <c r="AB304" i="2"/>
  <c r="AF83" i="2"/>
  <c r="B416" i="5"/>
  <c r="E79" i="5"/>
  <c r="B140" i="5"/>
  <c r="AG322" i="2"/>
  <c r="B435" i="5"/>
  <c r="AF50" i="2"/>
  <c r="AE239" i="2"/>
  <c r="AF313" i="2"/>
  <c r="B329" i="5"/>
  <c r="AC225" i="2"/>
  <c r="AA154" i="2"/>
  <c r="AA227" i="2"/>
  <c r="AG356" i="2"/>
  <c r="E407" i="5"/>
  <c r="AD234" i="2"/>
  <c r="AC140" i="2"/>
  <c r="AD337" i="2"/>
  <c r="E300" i="5"/>
  <c r="AF185" i="2"/>
  <c r="E81" i="5"/>
  <c r="B149" i="5"/>
  <c r="AB64" i="2"/>
  <c r="AC188" i="2"/>
  <c r="AA37" i="2"/>
  <c r="B86" i="5"/>
  <c r="AA197" i="2"/>
  <c r="AF254" i="2"/>
  <c r="AE272" i="2"/>
  <c r="AC277" i="2"/>
  <c r="AG81" i="2"/>
  <c r="AD206" i="2"/>
  <c r="B34" i="5"/>
  <c r="AD134" i="2"/>
  <c r="AE233" i="2"/>
  <c r="AE238" i="2"/>
  <c r="AF231" i="2"/>
  <c r="AA57" i="2"/>
  <c r="E365" i="5"/>
  <c r="B99" i="5"/>
  <c r="AE195" i="2"/>
  <c r="AE455" i="2"/>
  <c r="AC454" i="2"/>
  <c r="E190" i="5"/>
  <c r="E182" i="5"/>
  <c r="AA284" i="2"/>
  <c r="AE408" i="2"/>
  <c r="AC304" i="2"/>
  <c r="AF81" i="2"/>
  <c r="AD324" i="2"/>
  <c r="AG48" i="2"/>
  <c r="AG127" i="2"/>
  <c r="E434" i="5"/>
  <c r="B94" i="5"/>
  <c r="B484" i="5"/>
  <c r="AF238" i="2"/>
  <c r="AA125" i="2"/>
  <c r="AD338" i="2"/>
  <c r="AA163" i="2"/>
  <c r="B254" i="5"/>
  <c r="AC430" i="2"/>
  <c r="AE76" i="2"/>
  <c r="E363" i="5"/>
  <c r="AD157" i="2"/>
  <c r="E211" i="5"/>
  <c r="B297" i="5"/>
  <c r="AG263" i="2"/>
  <c r="E496" i="5"/>
  <c r="AC125" i="2"/>
  <c r="AB99" i="2"/>
  <c r="B445" i="5"/>
  <c r="B71" i="5"/>
  <c r="AD33" i="2"/>
  <c r="AA181" i="2"/>
  <c r="AG176" i="2"/>
  <c r="AA481" i="2"/>
  <c r="E321" i="5"/>
  <c r="B476" i="5"/>
  <c r="AB68" i="2"/>
  <c r="E167" i="5"/>
  <c r="AF75" i="2"/>
  <c r="AB80" i="2"/>
  <c r="B165" i="5"/>
  <c r="E118" i="5"/>
  <c r="AF439" i="2"/>
  <c r="B366" i="5"/>
  <c r="AC307" i="2"/>
  <c r="AC72" i="2"/>
  <c r="AA422" i="2"/>
  <c r="E474" i="5"/>
  <c r="E379" i="5"/>
  <c r="AG120" i="2"/>
  <c r="E399" i="5"/>
  <c r="E511" i="5"/>
  <c r="AA258" i="2"/>
  <c r="AB218" i="2"/>
  <c r="B358" i="5"/>
  <c r="AB125" i="2"/>
  <c r="AA139" i="2"/>
  <c r="AF170" i="2"/>
  <c r="AG206" i="2"/>
  <c r="E514" i="5"/>
  <c r="AD127" i="2"/>
  <c r="B412" i="5"/>
  <c r="AA238" i="2"/>
  <c r="B240" i="5"/>
  <c r="B169" i="5"/>
  <c r="B156" i="5"/>
  <c r="AA378" i="2"/>
  <c r="AB155" i="2"/>
  <c r="E144" i="5"/>
  <c r="B439" i="5"/>
  <c r="AA171" i="2"/>
  <c r="AF408" i="2"/>
  <c r="AC233" i="2"/>
  <c r="AE364" i="2"/>
  <c r="AG365" i="2"/>
  <c r="E206" i="5"/>
  <c r="AA278" i="2"/>
  <c r="E336" i="5"/>
  <c r="AE213" i="2"/>
  <c r="B218" i="5"/>
  <c r="E107" i="5"/>
  <c r="AB452" i="2"/>
  <c r="B452" i="5"/>
  <c r="E45" i="5"/>
  <c r="AB336" i="2"/>
  <c r="B340" i="5"/>
  <c r="AG185" i="2"/>
  <c r="AD46" i="2"/>
  <c r="B64" i="5"/>
  <c r="E427" i="5"/>
  <c r="AB284" i="2"/>
  <c r="AE64" i="2"/>
  <c r="E122" i="5"/>
  <c r="AF205" i="2"/>
  <c r="AE121" i="2"/>
  <c r="AF114" i="2"/>
  <c r="B239" i="5"/>
  <c r="B231" i="5"/>
  <c r="AG33" i="2"/>
  <c r="AG413" i="2"/>
  <c r="AF196" i="2"/>
  <c r="AG281" i="2"/>
  <c r="AB254" i="2"/>
  <c r="AG123" i="2"/>
  <c r="AG310" i="2"/>
  <c r="AB416" i="2"/>
  <c r="AA192" i="2"/>
  <c r="AC373" i="2"/>
  <c r="AF97" i="2"/>
  <c r="AA39" i="2"/>
  <c r="AF155" i="2"/>
  <c r="AB482" i="2"/>
  <c r="AA150" i="2"/>
  <c r="AC57" i="2"/>
  <c r="AA252" i="2"/>
  <c r="AE47" i="2"/>
  <c r="AA266" i="2"/>
  <c r="E507" i="5"/>
  <c r="AE88" i="2"/>
  <c r="AD243" i="2"/>
  <c r="AB73" i="2"/>
  <c r="AB168" i="2"/>
  <c r="AG177" i="2"/>
  <c r="B216" i="5"/>
  <c r="B171" i="5"/>
  <c r="AA55" i="2"/>
  <c r="B257" i="5"/>
  <c r="AC270" i="2"/>
  <c r="AG353" i="2"/>
  <c r="AB280" i="2"/>
  <c r="E525" i="5"/>
  <c r="B453" i="5"/>
  <c r="AA146" i="2"/>
  <c r="B142" i="5"/>
  <c r="AE154" i="2"/>
  <c r="AC272" i="2"/>
  <c r="E38" i="5"/>
  <c r="AF192" i="2"/>
  <c r="AD64" i="2"/>
  <c r="AG80" i="2"/>
  <c r="AE165" i="2"/>
  <c r="AF382" i="2"/>
  <c r="E67" i="5"/>
  <c r="E333" i="5"/>
  <c r="AD256" i="2"/>
  <c r="AD229" i="2"/>
  <c r="AB171" i="2"/>
  <c r="AE63" i="2"/>
  <c r="AB267" i="2"/>
  <c r="AC169" i="2"/>
  <c r="AD307" i="2"/>
  <c r="B381" i="5"/>
  <c r="B481" i="5"/>
  <c r="AB384" i="2"/>
  <c r="E384" i="5"/>
  <c r="E46" i="5"/>
  <c r="AE473" i="2"/>
  <c r="AE322" i="2"/>
  <c r="AD116" i="2"/>
  <c r="B315" i="5"/>
  <c r="AB149" i="2"/>
  <c r="AF173" i="2"/>
  <c r="AC294" i="2"/>
  <c r="AD139" i="2"/>
  <c r="B219" i="5"/>
  <c r="AE174" i="2"/>
  <c r="AC53" i="2"/>
  <c r="AF186" i="2"/>
  <c r="AC256" i="2"/>
  <c r="E35" i="5"/>
  <c r="E58" i="5"/>
  <c r="AE297" i="2"/>
  <c r="AF107" i="2"/>
  <c r="AB94" i="2"/>
  <c r="E172" i="5"/>
  <c r="E149" i="5"/>
  <c r="AE268" i="2"/>
  <c r="AF222" i="2"/>
  <c r="E116" i="5"/>
  <c r="AA437" i="2"/>
  <c r="AE214" i="2"/>
  <c r="AA56" i="2"/>
  <c r="AE131" i="2"/>
  <c r="AC147" i="2"/>
  <c r="AE307" i="2"/>
  <c r="AE51" i="2"/>
  <c r="AF45" i="2"/>
  <c r="AD305" i="2"/>
  <c r="AD296" i="2"/>
  <c r="AA32" i="2"/>
  <c r="AE467" i="2"/>
  <c r="E327" i="5"/>
  <c r="AE153" i="2"/>
  <c r="J45" i="2" l="1"/>
  <c r="J222" i="2"/>
  <c r="J107" i="2"/>
  <c r="J186" i="2"/>
  <c r="J173" i="2"/>
  <c r="J382" i="2"/>
  <c r="J192" i="2"/>
  <c r="J155" i="2"/>
  <c r="J97" i="2"/>
  <c r="J196" i="2"/>
  <c r="J114" i="2"/>
  <c r="J205" i="2"/>
  <c r="J408" i="2"/>
  <c r="J170" i="2"/>
  <c r="J439" i="2"/>
  <c r="J75" i="2"/>
  <c r="J238" i="2"/>
  <c r="J81" i="2"/>
  <c r="J231" i="2"/>
  <c r="J254" i="2"/>
  <c r="J185" i="2"/>
  <c r="J313" i="2"/>
  <c r="J50" i="2"/>
  <c r="J83" i="2"/>
  <c r="J167" i="2"/>
  <c r="J95" i="2"/>
  <c r="J29" i="2"/>
  <c r="J52" i="2"/>
  <c r="J209" i="2"/>
  <c r="J368" i="2"/>
  <c r="J282" i="2"/>
  <c r="J219" i="2"/>
  <c r="J54" i="2"/>
  <c r="J66" i="2"/>
  <c r="J336" i="2"/>
  <c r="J158" i="2"/>
  <c r="J330" i="2"/>
  <c r="J188" i="2"/>
  <c r="J67" i="2"/>
  <c r="J103" i="2"/>
  <c r="J391" i="2"/>
  <c r="J305" i="2"/>
  <c r="J213" i="2"/>
  <c r="J348" i="2"/>
  <c r="J218" i="2"/>
  <c r="J317" i="2"/>
  <c r="J152" i="2"/>
  <c r="J162" i="2"/>
  <c r="J176" i="2"/>
  <c r="J463" i="2"/>
  <c r="J164" i="2"/>
  <c r="J320" i="2"/>
  <c r="J429" i="2"/>
  <c r="J351" i="2"/>
  <c r="J181" i="2"/>
  <c r="J424" i="2"/>
  <c r="J193" i="2"/>
  <c r="J139" i="2"/>
  <c r="J384" i="2"/>
  <c r="J208" i="2"/>
  <c r="J416" i="2"/>
  <c r="J122" i="2"/>
  <c r="J65" i="2"/>
  <c r="J58" i="2"/>
  <c r="J249" i="2"/>
  <c r="J420" i="2"/>
  <c r="J77" i="2"/>
  <c r="J187" i="2"/>
  <c r="J125" i="2"/>
  <c r="J339" i="2"/>
  <c r="J381" i="2"/>
  <c r="J53" i="2"/>
  <c r="J359" i="2"/>
  <c r="J216" i="2"/>
  <c r="J477" i="2"/>
  <c r="J265" i="2"/>
  <c r="J316" i="2"/>
  <c r="J327" i="2"/>
  <c r="J303" i="2"/>
  <c r="J46" i="2"/>
  <c r="J160" i="2"/>
  <c r="J87" i="2"/>
  <c r="J189" i="2"/>
  <c r="J91" i="2"/>
  <c r="J210" i="2"/>
  <c r="J85" i="2"/>
  <c r="J124" i="2"/>
  <c r="J261" i="2"/>
  <c r="J44" i="2"/>
  <c r="J35" i="2"/>
  <c r="J43" i="2"/>
  <c r="J32" i="2"/>
  <c r="J370" i="2"/>
  <c r="J141" i="2"/>
  <c r="J260" i="2"/>
  <c r="J40" i="2"/>
  <c r="J287" i="2"/>
  <c r="J206" i="2"/>
  <c r="J198" i="2"/>
  <c r="J82" i="2"/>
  <c r="J151" i="2"/>
  <c r="J299" i="2"/>
  <c r="J276" i="2"/>
  <c r="J323" i="2"/>
  <c r="J135" i="2"/>
  <c r="J99" i="2"/>
  <c r="J372" i="2"/>
  <c r="J388" i="2"/>
  <c r="J326" i="2"/>
  <c r="J71" i="2"/>
  <c r="J194" i="2"/>
  <c r="J177" i="2"/>
  <c r="J130" i="2"/>
  <c r="J104" i="2"/>
  <c r="J262" i="2"/>
  <c r="J207" i="2"/>
  <c r="J112" i="2"/>
  <c r="J134" i="2"/>
  <c r="J266" i="2"/>
  <c r="J247" i="2"/>
  <c r="J182" i="2"/>
  <c r="J376" i="2"/>
  <c r="J163" i="2"/>
  <c r="J263" i="2"/>
  <c r="J239" i="2"/>
  <c r="J190" i="2"/>
  <c r="J39" i="2"/>
  <c r="J127" i="2"/>
  <c r="J321" i="2"/>
  <c r="J119" i="2"/>
  <c r="J118" i="2"/>
  <c r="J269" i="2"/>
  <c r="J132" i="2"/>
  <c r="J340" i="2"/>
  <c r="J60" i="2"/>
  <c r="J145" i="2"/>
  <c r="J214" i="2"/>
  <c r="J96" i="2"/>
  <c r="J106" i="2"/>
  <c r="J191" i="2"/>
  <c r="J248" i="2"/>
  <c r="J57" i="2"/>
  <c r="J201" i="2"/>
  <c r="J363" i="2"/>
  <c r="J144" i="2"/>
  <c r="J37" i="2"/>
  <c r="J226" i="2"/>
  <c r="J425" i="2"/>
  <c r="J235" i="2"/>
  <c r="J217" i="2"/>
  <c r="J120" i="2"/>
  <c r="J236" i="2"/>
  <c r="J474" i="2"/>
  <c r="J453" i="2"/>
  <c r="J243" i="2"/>
  <c r="J33" i="2"/>
  <c r="J427" i="2"/>
  <c r="J410" i="2"/>
  <c r="J293" i="2"/>
  <c r="J76" i="2"/>
  <c r="J451" i="2"/>
  <c r="J156" i="2"/>
  <c r="J63" i="2"/>
  <c r="J240" i="2"/>
  <c r="J225" i="2"/>
  <c r="J294" i="2"/>
  <c r="J234" i="2"/>
  <c r="J353" i="2"/>
  <c r="J31" i="2"/>
  <c r="J148" i="2"/>
  <c r="J228" i="2"/>
  <c r="J136" i="2"/>
  <c r="J349" i="2"/>
  <c r="J129" i="2"/>
  <c r="J116" i="2"/>
  <c r="J123" i="2"/>
  <c r="J195" i="2"/>
  <c r="J399" i="2"/>
  <c r="J166" i="2"/>
  <c r="J379" i="2"/>
  <c r="J281" i="2"/>
  <c r="J258" i="2"/>
  <c r="J423" i="2"/>
  <c r="J62" i="2"/>
  <c r="J111" i="2"/>
  <c r="J80" i="2"/>
  <c r="J341" i="2"/>
  <c r="J147" i="2"/>
  <c r="J100" i="2"/>
  <c r="J250" i="2"/>
  <c r="J385" i="2"/>
  <c r="J143" i="2"/>
  <c r="J171" i="2"/>
  <c r="J244" i="2"/>
  <c r="J101" i="2"/>
  <c r="J272" i="2"/>
  <c r="J175" i="2"/>
  <c r="J108" i="2"/>
  <c r="J34" i="2"/>
  <c r="J342" i="2"/>
  <c r="J241" i="2"/>
  <c r="J445" i="2"/>
  <c r="J113" i="2"/>
  <c r="J450" i="2"/>
  <c r="J355" i="2"/>
  <c r="J256" i="2"/>
  <c r="J283" i="2"/>
  <c r="J308" i="2"/>
  <c r="J64" i="2"/>
  <c r="J286" i="2"/>
  <c r="J268" i="2"/>
  <c r="J357" i="2"/>
  <c r="J447" i="2"/>
  <c r="J432" i="2"/>
  <c r="J184" i="2"/>
  <c r="J389" i="2"/>
  <c r="J297" i="2"/>
  <c r="J178" i="2"/>
  <c r="J476" i="2"/>
  <c r="J215" i="2"/>
  <c r="J290" i="2"/>
  <c r="J140" i="2"/>
  <c r="J335" i="2"/>
  <c r="J203" i="2"/>
  <c r="J137" i="2"/>
  <c r="J220" i="2"/>
  <c r="J47" i="2"/>
  <c r="J68" i="2"/>
  <c r="J224" i="2"/>
  <c r="J267" i="2"/>
  <c r="J343" i="2"/>
  <c r="J36" i="2"/>
  <c r="J73" i="2"/>
  <c r="J142" i="2"/>
  <c r="J197" i="2"/>
  <c r="J153" i="2"/>
  <c r="J337" i="2"/>
  <c r="J358" i="2"/>
  <c r="J168" i="2"/>
  <c r="J38" i="2"/>
  <c r="J229" i="2"/>
  <c r="J295" i="2"/>
  <c r="J304" i="2"/>
  <c r="J98" i="2"/>
  <c r="J59" i="2"/>
  <c r="J318" i="2"/>
  <c r="J273" i="2"/>
  <c r="J51" i="2"/>
  <c r="J78" i="2"/>
  <c r="J79" i="2"/>
  <c r="J202" i="2"/>
  <c r="J48" i="2"/>
  <c r="J366" i="2"/>
  <c r="J159" i="2"/>
  <c r="J378" i="2"/>
  <c r="J285" i="2"/>
  <c r="J347" i="2"/>
  <c r="J309" i="2"/>
  <c r="J444" i="2"/>
  <c r="J482" i="2"/>
  <c r="J328" i="2"/>
  <c r="J301" i="2"/>
  <c r="J322" i="2"/>
  <c r="J292" i="2"/>
  <c r="J274" i="2"/>
  <c r="J237" i="2"/>
  <c r="J284" i="2"/>
  <c r="J94" i="2"/>
  <c r="J109" i="2"/>
  <c r="J395" i="2"/>
  <c r="J406" i="2"/>
  <c r="J199" i="2"/>
  <c r="J387" i="2"/>
  <c r="J302" i="2"/>
  <c r="J70" i="2"/>
  <c r="J204" i="2"/>
  <c r="J251" i="2"/>
  <c r="J227" i="2"/>
  <c r="J291" i="2"/>
  <c r="J407" i="2"/>
  <c r="J278" i="2"/>
  <c r="J154" i="2"/>
  <c r="J325" i="2"/>
  <c r="J289" i="2"/>
  <c r="J333" i="2"/>
  <c r="J443" i="2"/>
  <c r="J110" i="2"/>
  <c r="J434" i="2"/>
  <c r="J312" i="2"/>
  <c r="J242" i="2"/>
  <c r="J93" i="2"/>
  <c r="J442" i="2"/>
  <c r="J55" i="2"/>
  <c r="J365" i="2"/>
  <c r="J469" i="2"/>
  <c r="J200" i="2"/>
  <c r="J440" i="2"/>
  <c r="J245" i="2"/>
  <c r="J460" i="2"/>
  <c r="J307" i="2"/>
  <c r="J149" i="2"/>
  <c r="J61" i="2"/>
  <c r="J230" i="2"/>
  <c r="J257" i="2"/>
  <c r="J352" i="2"/>
  <c r="J417" i="2"/>
  <c r="J133" i="2"/>
  <c r="J452" i="2"/>
  <c r="J88" i="2"/>
  <c r="J84" i="2"/>
  <c r="J310" i="2"/>
  <c r="J403" i="2"/>
  <c r="J404" i="2"/>
  <c r="J115" i="2"/>
  <c r="J356" i="2"/>
  <c r="J479" i="2"/>
  <c r="J221" i="2"/>
  <c r="J42" i="2"/>
  <c r="J150" i="2"/>
  <c r="J131" i="2"/>
  <c r="J400" i="2"/>
  <c r="J30" i="2"/>
  <c r="J138" i="2"/>
  <c r="J288" i="2"/>
  <c r="J315" i="2"/>
  <c r="J92" i="2"/>
  <c r="J375" i="2"/>
  <c r="J161" i="2"/>
  <c r="J157" i="2"/>
  <c r="J334" i="2"/>
  <c r="J461" i="2"/>
  <c r="J398" i="2"/>
  <c r="J128" i="2"/>
  <c r="J472" i="2"/>
  <c r="J280" i="2"/>
  <c r="J412" i="2"/>
  <c r="J394" i="2"/>
  <c r="J306" i="2"/>
  <c r="J90" i="2"/>
  <c r="J252" i="2"/>
  <c r="J448" i="2"/>
  <c r="J275" i="2"/>
  <c r="J49" i="2"/>
  <c r="J172" i="2"/>
  <c r="J223" i="2"/>
  <c r="J371" i="2"/>
  <c r="J426" i="2"/>
  <c r="J437" i="2"/>
  <c r="J324" i="2"/>
  <c r="J296" i="2"/>
  <c r="J390" i="2"/>
  <c r="J183" i="2"/>
  <c r="J462" i="2"/>
  <c r="J377" i="2"/>
  <c r="J364" i="2"/>
  <c r="J72" i="2"/>
  <c r="J413" i="2"/>
  <c r="J480" i="2"/>
  <c r="J329" i="2"/>
  <c r="J174" i="2"/>
  <c r="J69" i="2"/>
  <c r="J246" i="2"/>
  <c r="J405" i="2"/>
  <c r="J253" i="2"/>
  <c r="J380" i="2"/>
  <c r="J255" i="2"/>
  <c r="J393" i="2"/>
  <c r="J117" i="2"/>
  <c r="J271" i="2"/>
  <c r="J369" i="2"/>
  <c r="J435" i="2"/>
  <c r="J146" i="2"/>
  <c r="J89" i="2"/>
  <c r="J428" i="2"/>
  <c r="J279" i="2"/>
  <c r="J41" i="2"/>
  <c r="J319" i="2"/>
  <c r="J458" i="2"/>
  <c r="J105" i="2"/>
  <c r="J471" i="2"/>
  <c r="J373" i="2"/>
  <c r="J354" i="2"/>
  <c r="J467" i="2"/>
  <c r="J56" i="2"/>
  <c r="J433" i="2"/>
  <c r="J473" i="2"/>
  <c r="J419" i="2"/>
  <c r="J361" i="2"/>
  <c r="J169" i="2"/>
  <c r="J466" i="2"/>
  <c r="J449" i="2"/>
  <c r="J314" i="2"/>
  <c r="J298" i="2"/>
  <c r="J415" i="2"/>
  <c r="J367" i="2"/>
  <c r="J212" i="2"/>
  <c r="J464" i="2"/>
  <c r="J397" i="2"/>
  <c r="J475" i="2"/>
  <c r="J418" i="2"/>
  <c r="J259" i="2"/>
  <c r="J401" i="2"/>
  <c r="J396" i="2"/>
  <c r="J422" i="2"/>
  <c r="J264" i="2"/>
  <c r="J470" i="2"/>
  <c r="J386" i="2"/>
  <c r="J454" i="2"/>
  <c r="J421" i="2"/>
  <c r="J346" i="2"/>
  <c r="J345" i="2"/>
  <c r="J411" i="2"/>
  <c r="J459" i="2"/>
  <c r="J232" i="2"/>
  <c r="J374" i="2"/>
  <c r="J383" i="2"/>
  <c r="J211" i="2"/>
  <c r="J86" i="2"/>
  <c r="J121" i="2"/>
  <c r="J277" i="2"/>
  <c r="J270" i="2"/>
  <c r="J165" i="2"/>
  <c r="J457" i="2"/>
  <c r="J468" i="2"/>
  <c r="J338" i="2"/>
  <c r="J414" i="2"/>
  <c r="J431" i="2"/>
  <c r="J430" i="2"/>
  <c r="J455" i="2"/>
  <c r="J481" i="2"/>
  <c r="J465" i="2"/>
  <c r="J311" i="2"/>
  <c r="J478" i="2"/>
  <c r="J350" i="2"/>
  <c r="J409" i="2"/>
  <c r="J456" i="2"/>
  <c r="J344" i="2"/>
  <c r="J233" i="2"/>
  <c r="J446" i="2"/>
  <c r="J300" i="2"/>
  <c r="J102" i="2"/>
  <c r="J126" i="2"/>
  <c r="J436" i="2"/>
  <c r="J441" i="2"/>
  <c r="J438" i="2"/>
  <c r="J362" i="2"/>
  <c r="J74" i="2"/>
  <c r="J402" i="2"/>
  <c r="J360" i="2"/>
  <c r="J392" i="2"/>
  <c r="G5" i="2"/>
  <c r="G4" i="2"/>
  <c r="G5" i="1"/>
  <c r="G4" i="1"/>
  <c r="S33" i="1"/>
  <c r="S24" i="1"/>
  <c r="C18" i="4"/>
  <c r="C17" i="4"/>
  <c r="I32" i="2"/>
  <c r="I266" i="2"/>
  <c r="I39" i="2"/>
  <c r="I171" i="2"/>
  <c r="I139" i="2"/>
  <c r="I125" i="2"/>
  <c r="I57" i="2"/>
  <c r="I37" i="2"/>
  <c r="I45" i="2"/>
  <c r="I217" i="2"/>
  <c r="I205" i="2"/>
  <c r="I168" i="2"/>
  <c r="I219" i="2"/>
  <c r="I297" i="2"/>
  <c r="I334" i="2"/>
  <c r="I324" i="2"/>
  <c r="I212" i="2"/>
  <c r="I167" i="2"/>
  <c r="I321" i="2"/>
  <c r="I329" i="2"/>
  <c r="I189" i="2"/>
  <c r="I107" i="2"/>
  <c r="I394" i="2"/>
  <c r="I73" i="2"/>
  <c r="I156" i="2"/>
  <c r="I85" i="2"/>
  <c r="I230" i="2"/>
  <c r="I136" i="2"/>
  <c r="I170" i="2"/>
  <c r="I249" i="2"/>
  <c r="I101" i="2"/>
  <c r="I438" i="2"/>
  <c r="I268" i="2"/>
  <c r="I427" i="2"/>
  <c r="I365" i="2"/>
  <c r="I91" i="2"/>
  <c r="I90" i="2"/>
  <c r="I78" i="2"/>
  <c r="I467" i="2"/>
  <c r="I29" i="2"/>
  <c r="I279" i="2"/>
  <c r="I307" i="2"/>
  <c r="I161" i="2"/>
  <c r="I340" i="2"/>
  <c r="I241" i="2"/>
  <c r="I318" i="2"/>
  <c r="I421" i="2"/>
  <c r="I187" i="2"/>
  <c r="I89" i="2"/>
  <c r="I233" i="2"/>
  <c r="I412" i="2"/>
  <c r="I261" i="2"/>
  <c r="I144" i="2"/>
  <c r="I77" i="2"/>
  <c r="I456" i="2"/>
  <c r="I119" i="2"/>
  <c r="I302" i="2"/>
  <c r="I40" i="2"/>
  <c r="I135" i="2"/>
  <c r="I81" i="2"/>
  <c r="I166" i="2"/>
  <c r="I50" i="2"/>
  <c r="I263" i="2"/>
  <c r="I339" i="2"/>
  <c r="I423" i="2"/>
  <c r="I186" i="2"/>
  <c r="I414" i="2"/>
  <c r="I134" i="2"/>
  <c r="I306" i="2"/>
  <c r="I158" i="2"/>
  <c r="I196" i="2"/>
  <c r="I270" i="2"/>
  <c r="I424" i="2"/>
  <c r="I385" i="2"/>
  <c r="I462" i="2"/>
  <c r="I178" i="2"/>
  <c r="I405" i="2"/>
  <c r="I342" i="2"/>
  <c r="I388" i="2"/>
  <c r="I72" i="2"/>
  <c r="I309" i="2"/>
  <c r="I363" i="2"/>
  <c r="I436" i="2"/>
  <c r="I132" i="2"/>
  <c r="I251" i="2"/>
  <c r="I223" i="2"/>
  <c r="I240" i="2"/>
  <c r="I366" i="2"/>
  <c r="I255" i="2"/>
  <c r="I38" i="2"/>
  <c r="I69" i="2"/>
  <c r="I452" i="2"/>
  <c r="I122" i="2"/>
  <c r="I469" i="2"/>
  <c r="I359" i="2"/>
  <c r="I383" i="2"/>
  <c r="I397" i="2"/>
  <c r="I356" i="2"/>
  <c r="I348" i="2"/>
  <c r="I449" i="2"/>
  <c r="I275" i="2"/>
  <c r="I387" i="2"/>
  <c r="I294" i="2"/>
  <c r="I353" i="2"/>
  <c r="I252" i="2"/>
  <c r="I378" i="2"/>
  <c r="I258" i="2"/>
  <c r="I481" i="2"/>
  <c r="I74" i="2"/>
  <c r="I216" i="2"/>
  <c r="I239" i="2"/>
  <c r="I344" i="2"/>
  <c r="I368" i="2"/>
  <c r="I48" i="2"/>
  <c r="I51" i="2"/>
  <c r="I222" i="2"/>
  <c r="I292" i="2"/>
  <c r="I443" i="2"/>
  <c r="I468" i="2"/>
  <c r="I183" i="2"/>
  <c r="I204" i="2"/>
  <c r="I195" i="2"/>
  <c r="I382" i="2"/>
  <c r="I47" i="2"/>
  <c r="I336" i="2"/>
  <c r="I198" i="2"/>
  <c r="I99" i="2"/>
  <c r="I185" i="2"/>
  <c r="I256" i="2"/>
  <c r="I141" i="2"/>
  <c r="I43" i="2"/>
  <c r="I87" i="2"/>
  <c r="I49" i="2"/>
  <c r="I407" i="2"/>
  <c r="I35" i="2"/>
  <c r="I391" i="2"/>
  <c r="I416" i="2"/>
  <c r="I228" i="2"/>
  <c r="I138" i="2"/>
  <c r="I63" i="2"/>
  <c r="I140" i="2"/>
  <c r="I177" i="2"/>
  <c r="I257" i="2"/>
  <c r="I54" i="2"/>
  <c r="I79" i="2"/>
  <c r="I234" i="2"/>
  <c r="I276" i="2"/>
  <c r="I444" i="2"/>
  <c r="I312" i="2"/>
  <c r="I361" i="2"/>
  <c r="I213" i="2"/>
  <c r="I463" i="2"/>
  <c r="I327" i="2"/>
  <c r="I384" i="2"/>
  <c r="I64" i="2"/>
  <c r="I235" i="2"/>
  <c r="I317" i="2"/>
  <c r="I470" i="2"/>
  <c r="I94" i="2"/>
  <c r="I215" i="2"/>
  <c r="I415" i="2"/>
  <c r="I142" i="2"/>
  <c r="I53" i="2"/>
  <c r="I211" i="2"/>
  <c r="I392" i="2"/>
  <c r="I199" i="2"/>
  <c r="I285" i="2"/>
  <c r="I130" i="2"/>
  <c r="I162" i="2"/>
  <c r="I296" i="2"/>
  <c r="I288" i="2"/>
  <c r="I242" i="2"/>
  <c r="I210" i="2"/>
  <c r="I429" i="2"/>
  <c r="I328" i="2"/>
  <c r="I82" i="2"/>
  <c r="I446" i="2"/>
  <c r="I111" i="2"/>
  <c r="I184" i="2"/>
  <c r="I400" i="2"/>
  <c r="I68" i="2"/>
  <c r="I96" i="2"/>
  <c r="I231" i="2"/>
  <c r="I411" i="2"/>
  <c r="I133" i="2"/>
  <c r="I343" i="2"/>
  <c r="I451" i="2"/>
  <c r="I280" i="2"/>
  <c r="I83" i="2"/>
  <c r="I191" i="2"/>
  <c r="I237" i="2"/>
  <c r="I319" i="2"/>
  <c r="I432" i="2"/>
  <c r="I458" i="2"/>
  <c r="I457" i="2"/>
  <c r="I202" i="2"/>
  <c r="I337" i="2"/>
  <c r="I303" i="2"/>
  <c r="I274" i="2"/>
  <c r="I369" i="2"/>
  <c r="I373" i="2"/>
  <c r="I433" i="2"/>
  <c r="I474" i="2"/>
  <c r="I450" i="2"/>
  <c r="I389" i="2"/>
  <c r="I311" i="2"/>
  <c r="I478" i="2"/>
  <c r="I157" i="2"/>
  <c r="I56" i="2"/>
  <c r="I146" i="2"/>
  <c r="I150" i="2"/>
  <c r="I192" i="2"/>
  <c r="I278" i="2"/>
  <c r="I238" i="2"/>
  <c r="I422" i="2"/>
  <c r="I181" i="2"/>
  <c r="I227" i="2"/>
  <c r="I419" i="2"/>
  <c r="I273" i="2"/>
  <c r="I377" i="2"/>
  <c r="I260" i="2"/>
  <c r="I434" i="2"/>
  <c r="I236" i="2"/>
  <c r="I33" i="2"/>
  <c r="I160" i="2"/>
  <c r="I417" i="2"/>
  <c r="I372" i="2"/>
  <c r="I440" i="2"/>
  <c r="I282" i="2"/>
  <c r="I120" i="2"/>
  <c r="I300" i="2"/>
  <c r="I176" i="2"/>
  <c r="I100" i="2"/>
  <c r="I310" i="2"/>
  <c r="I265" i="2"/>
  <c r="I232" i="2"/>
  <c r="I42" i="2"/>
  <c r="I149" i="2"/>
  <c r="I375" i="2"/>
  <c r="I376" i="2"/>
  <c r="I173" i="2"/>
  <c r="I426" i="2"/>
  <c r="I174" i="2"/>
  <c r="I147" i="2"/>
  <c r="I218" i="2"/>
  <c r="I209" i="2"/>
  <c r="I62" i="2"/>
  <c r="I115" i="2"/>
  <c r="I153" i="2"/>
  <c r="I114" i="2"/>
  <c r="I445" i="2"/>
  <c r="I84" i="2"/>
  <c r="I124" i="2"/>
  <c r="I108" i="2"/>
  <c r="I200" i="2"/>
  <c r="I80" i="2"/>
  <c r="I105" i="2"/>
  <c r="I102" i="2"/>
  <c r="I224" i="2"/>
  <c r="I472" i="2"/>
  <c r="I123" i="2"/>
  <c r="I281" i="2"/>
  <c r="I335" i="2"/>
  <c r="I295" i="2"/>
  <c r="I98" i="2"/>
  <c r="I188" i="2"/>
  <c r="I360" i="2"/>
  <c r="I159" i="2"/>
  <c r="I435" i="2"/>
  <c r="I362" i="2"/>
  <c r="I97" i="2"/>
  <c r="I109" i="2"/>
  <c r="I358" i="2"/>
  <c r="I305" i="2"/>
  <c r="I203" i="2"/>
  <c r="I447" i="2"/>
  <c r="I471" i="2"/>
  <c r="I262" i="2"/>
  <c r="I406" i="2"/>
  <c r="I137" i="2"/>
  <c r="I116" i="2"/>
  <c r="I225" i="2"/>
  <c r="I399" i="2"/>
  <c r="I402" i="2"/>
  <c r="I70" i="2"/>
  <c r="I106" i="2"/>
  <c r="I246" i="2"/>
  <c r="I269" i="2"/>
  <c r="I175" i="2"/>
  <c r="I476" i="2"/>
  <c r="I475" i="2"/>
  <c r="I355" i="2"/>
  <c r="I370" i="2"/>
  <c r="I244" i="2"/>
  <c r="I293" i="2"/>
  <c r="I201" i="2"/>
  <c r="I473" i="2"/>
  <c r="I267" i="2"/>
  <c r="I128" i="2"/>
  <c r="I314" i="2"/>
  <c r="I380" i="2"/>
  <c r="I466" i="2"/>
  <c r="I245" i="2"/>
  <c r="I401" i="2"/>
  <c r="I46" i="2"/>
  <c r="I480" i="2"/>
  <c r="I104" i="2"/>
  <c r="I298" i="2"/>
  <c r="I320" i="2"/>
  <c r="I290" i="2"/>
  <c r="I346" i="2"/>
  <c r="I357" i="2"/>
  <c r="I330" i="2"/>
  <c r="I254" i="2"/>
  <c r="I36" i="2"/>
  <c r="I326" i="2"/>
  <c r="I364" i="2"/>
  <c r="I410" i="2"/>
  <c r="I482" i="2"/>
  <c r="I430" i="2"/>
  <c r="I243" i="2"/>
  <c r="I354" i="2"/>
  <c r="I333" i="2"/>
  <c r="I437" i="2"/>
  <c r="I55" i="2"/>
  <c r="I163" i="2"/>
  <c r="I284" i="2"/>
  <c r="I197" i="2"/>
  <c r="I154" i="2"/>
  <c r="I322" i="2"/>
  <c r="I214" i="2"/>
  <c r="I315" i="2"/>
  <c r="I103" i="2"/>
  <c r="I41" i="2"/>
  <c r="I464" i="2"/>
  <c r="I194" i="2"/>
  <c r="I145" i="2"/>
  <c r="I367" i="2"/>
  <c r="I350" i="2"/>
  <c r="I323" i="2"/>
  <c r="I129" i="2"/>
  <c r="I121" i="2"/>
  <c r="I131" i="2"/>
  <c r="I71" i="2"/>
  <c r="I190" i="2"/>
  <c r="I259" i="2"/>
  <c r="I113" i="2"/>
  <c r="I193" i="2"/>
  <c r="I164" i="2"/>
  <c r="I448" i="2"/>
  <c r="I428" i="2"/>
  <c r="I395" i="2"/>
  <c r="I60" i="2"/>
  <c r="I352" i="2"/>
  <c r="I143" i="2"/>
  <c r="I31" i="2"/>
  <c r="I207" i="2"/>
  <c r="I88" i="2"/>
  <c r="I287" i="2"/>
  <c r="I67" i="2"/>
  <c r="I58" i="2"/>
  <c r="I126" i="2"/>
  <c r="I253" i="2"/>
  <c r="I93" i="2"/>
  <c r="I169" i="2"/>
  <c r="I110" i="2"/>
  <c r="I52" i="2"/>
  <c r="I418" i="2"/>
  <c r="I304" i="2"/>
  <c r="I75" i="2"/>
  <c r="I30" i="2"/>
  <c r="I65" i="2"/>
  <c r="I208" i="2"/>
  <c r="I277" i="2"/>
  <c r="I299" i="2"/>
  <c r="I220" i="2"/>
  <c r="I404" i="2"/>
  <c r="I229" i="2"/>
  <c r="I283" i="2"/>
  <c r="I182" i="2"/>
  <c r="I151" i="2"/>
  <c r="I286" i="2"/>
  <c r="I313" i="2"/>
  <c r="I127" i="2"/>
  <c r="I341" i="2"/>
  <c r="I374" i="2"/>
  <c r="I226" i="2"/>
  <c r="I291" i="2"/>
  <c r="I206" i="2"/>
  <c r="I92" i="2"/>
  <c r="I66" i="2"/>
  <c r="I349" i="2"/>
  <c r="I409" i="2"/>
  <c r="I165" i="2"/>
  <c r="I86" i="2"/>
  <c r="I34" i="2"/>
  <c r="I477" i="2"/>
  <c r="I431" i="2"/>
  <c r="I112" i="2"/>
  <c r="I325" i="2"/>
  <c r="I148" i="2"/>
  <c r="I95" i="2"/>
  <c r="I248" i="2"/>
  <c r="I152" i="2"/>
  <c r="I301" i="2"/>
  <c r="I118" i="2"/>
  <c r="I351" i="2"/>
  <c r="I459" i="2"/>
  <c r="I59" i="2"/>
  <c r="I172" i="2"/>
  <c r="I155" i="2"/>
  <c r="I398" i="2"/>
  <c r="I76" i="2"/>
  <c r="I61" i="2"/>
  <c r="I403" i="2"/>
  <c r="I316" i="2"/>
  <c r="I453" i="2"/>
  <c r="I347" i="2"/>
  <c r="I221" i="2"/>
  <c r="I455" i="2"/>
  <c r="I250" i="2"/>
  <c r="I117" i="2"/>
  <c r="I289" i="2"/>
  <c r="I439" i="2"/>
  <c r="I461" i="2"/>
  <c r="I371" i="2"/>
  <c r="I454" i="2"/>
  <c r="I441" i="2"/>
  <c r="I396" i="2"/>
  <c r="I247" i="2"/>
  <c r="I420" i="2"/>
  <c r="I264" i="2"/>
  <c r="I393" i="2"/>
  <c r="I408" i="2"/>
  <c r="I465" i="2"/>
  <c r="I44" i="2"/>
  <c r="I381" i="2"/>
  <c r="I338" i="2"/>
  <c r="I479" i="2"/>
  <c r="I308" i="2"/>
  <c r="I425" i="2"/>
  <c r="I460" i="2"/>
  <c r="I379" i="2"/>
  <c r="I390" i="2"/>
  <c r="I386" i="2"/>
  <c r="I413" i="2"/>
  <c r="I271" i="2"/>
  <c r="I345" i="2"/>
  <c r="I442" i="2"/>
  <c r="I272" i="2"/>
  <c r="D20" i="1" l="1"/>
  <c r="F11" i="1"/>
  <c r="F14" i="1"/>
  <c r="F17" i="1"/>
  <c r="S33" i="2"/>
  <c r="S24" i="2"/>
  <c r="F17" i="4"/>
  <c r="J145" i="13" l="1"/>
  <c r="E172" i="13" s="1"/>
  <c r="J145" i="11"/>
  <c r="E172" i="11" s="1"/>
  <c r="J145" i="12"/>
  <c r="E172" i="12" s="1"/>
  <c r="J145" i="10"/>
  <c r="E172" i="10" s="1"/>
  <c r="E17" i="1"/>
  <c r="J145" i="7"/>
  <c r="E172" i="7" s="1"/>
  <c r="F14" i="2"/>
  <c r="R21" i="2" s="1"/>
  <c r="R23" i="2" s="1"/>
  <c r="W23" i="2" s="1"/>
  <c r="X23" i="2" s="1"/>
  <c r="K14" i="2" s="1"/>
  <c r="D20" i="2"/>
  <c r="F16" i="4"/>
  <c r="F11" i="2"/>
  <c r="R12" i="2" s="1"/>
  <c r="R13" i="2" s="1"/>
  <c r="S13" i="2" s="1"/>
  <c r="U13" i="2" s="1"/>
  <c r="V13" i="2" s="1"/>
  <c r="Y13" i="2" s="1"/>
  <c r="E11" i="1"/>
  <c r="E14" i="1"/>
  <c r="R29" i="1"/>
  <c r="R30" i="1"/>
  <c r="R21" i="1"/>
  <c r="R20" i="1"/>
  <c r="R12" i="1"/>
  <c r="R11" i="1"/>
  <c r="F17" i="2"/>
  <c r="AG418" i="1"/>
  <c r="AG422" i="1"/>
  <c r="AB432" i="1"/>
  <c r="AF437" i="1"/>
  <c r="AE307" i="1"/>
  <c r="AA69" i="1"/>
  <c r="AD298" i="1"/>
  <c r="AD261" i="1"/>
  <c r="AE136" i="1"/>
  <c r="AC236" i="1"/>
  <c r="AC29" i="1"/>
  <c r="AA209" i="1"/>
  <c r="AG170" i="1"/>
  <c r="AG274" i="1"/>
  <c r="AG337" i="1"/>
  <c r="AE409" i="1"/>
  <c r="AE220" i="1"/>
  <c r="AD36" i="1"/>
  <c r="AA387" i="1"/>
  <c r="AC92" i="1"/>
  <c r="AE363" i="1"/>
  <c r="AB308" i="1"/>
  <c r="AG86" i="1"/>
  <c r="AF317" i="1"/>
  <c r="AE266" i="1"/>
  <c r="AD453" i="1"/>
  <c r="AF70" i="1"/>
  <c r="AA424" i="1"/>
  <c r="AC315" i="1"/>
  <c r="AC409" i="1"/>
  <c r="AE147" i="1"/>
  <c r="AG430" i="1"/>
  <c r="AB352" i="1"/>
  <c r="AF195" i="1"/>
  <c r="AD473" i="1"/>
  <c r="AC411" i="1"/>
  <c r="AC209" i="1"/>
  <c r="AG141" i="1"/>
  <c r="AG445" i="1"/>
  <c r="AF149" i="1"/>
  <c r="AF376" i="1"/>
  <c r="AF233" i="1"/>
  <c r="AF266" i="1"/>
  <c r="AG394" i="1"/>
  <c r="AC466" i="1"/>
  <c r="AF468" i="1"/>
  <c r="AC441" i="1"/>
  <c r="AF433" i="1"/>
  <c r="AG61" i="1"/>
  <c r="AF34" i="1"/>
  <c r="AA428" i="1"/>
  <c r="AB362" i="1"/>
  <c r="AF475" i="1"/>
  <c r="AF88" i="1"/>
  <c r="AC253" i="1"/>
  <c r="AC284" i="1"/>
  <c r="AA111" i="1"/>
  <c r="AB441" i="1"/>
  <c r="AG92" i="1"/>
  <c r="AE372" i="1"/>
  <c r="AA245" i="1"/>
  <c r="AD271" i="1"/>
  <c r="AC81" i="1"/>
  <c r="AB44" i="1"/>
  <c r="AG275" i="1"/>
  <c r="AD358" i="1"/>
  <c r="AE85" i="1"/>
  <c r="AG366" i="1"/>
  <c r="AF254" i="1"/>
  <c r="AD407" i="1"/>
  <c r="AE234" i="1"/>
  <c r="AC135" i="1"/>
  <c r="AD107" i="1"/>
  <c r="AG385" i="1"/>
  <c r="AC146" i="1"/>
  <c r="AF404" i="1"/>
  <c r="AA232" i="1"/>
  <c r="AD109" i="1"/>
  <c r="AG325" i="1"/>
  <c r="AA211" i="1"/>
  <c r="AA437" i="1"/>
  <c r="AE142" i="1"/>
  <c r="AD62" i="1"/>
  <c r="AA301" i="1"/>
  <c r="AA95" i="1"/>
  <c r="AG276" i="1"/>
  <c r="AA287" i="1"/>
  <c r="AB430" i="1"/>
  <c r="AG351" i="1"/>
  <c r="AA394" i="1"/>
  <c r="AD455" i="1"/>
  <c r="AE219" i="1"/>
  <c r="AF64" i="1"/>
  <c r="AF190" i="1"/>
  <c r="AA470" i="1"/>
  <c r="AC110" i="1"/>
  <c r="AE449" i="1"/>
  <c r="AC98" i="1"/>
  <c r="AE200" i="1"/>
  <c r="AC277" i="1"/>
  <c r="AE66" i="1"/>
  <c r="AD127" i="1"/>
  <c r="AB147" i="1"/>
  <c r="AF463" i="1"/>
  <c r="AC476" i="1"/>
  <c r="AD33" i="1"/>
  <c r="AA34" i="1"/>
  <c r="AE352" i="1"/>
  <c r="AE217" i="1"/>
  <c r="AB269" i="1"/>
  <c r="AC91" i="1"/>
  <c r="AE233" i="1"/>
  <c r="AE376" i="1"/>
  <c r="AF153" i="1"/>
  <c r="AG333" i="1"/>
  <c r="AG374" i="1"/>
  <c r="AG431" i="1"/>
  <c r="AB363" i="1"/>
  <c r="AE471" i="1"/>
  <c r="AB182" i="1"/>
  <c r="AC457" i="1"/>
  <c r="AF81" i="1"/>
  <c r="AA216" i="1"/>
  <c r="AF469" i="1"/>
  <c r="AB305" i="1"/>
  <c r="AA82" i="1"/>
  <c r="AA72" i="1"/>
  <c r="AF199" i="1"/>
  <c r="AA482" i="1"/>
  <c r="AF53" i="1"/>
  <c r="AC257" i="1"/>
  <c r="AA296" i="1"/>
  <c r="AC142" i="1"/>
  <c r="AC470" i="1"/>
  <c r="AE108" i="1"/>
  <c r="AB436" i="1"/>
  <c r="AG152" i="1"/>
  <c r="AB224" i="1"/>
  <c r="AA410" i="1"/>
  <c r="AD307" i="1"/>
  <c r="AE440" i="1"/>
  <c r="AF307" i="1"/>
  <c r="AA284" i="1"/>
  <c r="AB232" i="1"/>
  <c r="AF440" i="1"/>
  <c r="AG212" i="1"/>
  <c r="AD318" i="1"/>
  <c r="AA230" i="1"/>
  <c r="AF56" i="1"/>
  <c r="AE198" i="1"/>
  <c r="AE29" i="1"/>
  <c r="AA75" i="1"/>
  <c r="AG454" i="1"/>
  <c r="AG135" i="1"/>
  <c r="AG47" i="1"/>
  <c r="AG256" i="1"/>
  <c r="AD356" i="1"/>
  <c r="AD264" i="1"/>
  <c r="AB42" i="1"/>
  <c r="AG140" i="1"/>
  <c r="AC462" i="1"/>
  <c r="AD50" i="1"/>
  <c r="AC416" i="1"/>
  <c r="AA200" i="1"/>
  <c r="AG35" i="1"/>
  <c r="AA358" i="1"/>
  <c r="AD270" i="1"/>
  <c r="AE189" i="1"/>
  <c r="AB415" i="1"/>
  <c r="AB207" i="1"/>
  <c r="AB55" i="1"/>
  <c r="AD100" i="1"/>
  <c r="AE56" i="1"/>
  <c r="AB81" i="1"/>
  <c r="AF78" i="1"/>
  <c r="AD380" i="1"/>
  <c r="AF72" i="1"/>
  <c r="AE227" i="1"/>
  <c r="AA45" i="1"/>
  <c r="AF194" i="1"/>
  <c r="AF340" i="1"/>
  <c r="AD162" i="1"/>
  <c r="AB153" i="1"/>
  <c r="AC122" i="1"/>
  <c r="AD111" i="1"/>
  <c r="AF457" i="1"/>
  <c r="AG31" i="1"/>
  <c r="AG121" i="1"/>
  <c r="AG77" i="1"/>
  <c r="AG322" i="1"/>
  <c r="AG464" i="1"/>
  <c r="AE79" i="1"/>
  <c r="AB387" i="1"/>
  <c r="AF327" i="1"/>
  <c r="AG88" i="1"/>
  <c r="AB422" i="1"/>
  <c r="AG117" i="1"/>
  <c r="AC382" i="1"/>
  <c r="AC366" i="1"/>
  <c r="AF461" i="1"/>
  <c r="AD442" i="1"/>
  <c r="AG138" i="1"/>
  <c r="AG206" i="1"/>
  <c r="AE185" i="1"/>
  <c r="AF318" i="1"/>
  <c r="AE199" i="1"/>
  <c r="AB456" i="1"/>
  <c r="AA313" i="1"/>
  <c r="AC100" i="1"/>
  <c r="AC394" i="1"/>
  <c r="AF152" i="1"/>
  <c r="AB118" i="1"/>
  <c r="AB283" i="1"/>
  <c r="AC75" i="1"/>
  <c r="AG194" i="1"/>
  <c r="AG243" i="1"/>
  <c r="AD42" i="1"/>
  <c r="AC76" i="1"/>
  <c r="AB248" i="1"/>
  <c r="AD393" i="1"/>
  <c r="AB426" i="1"/>
  <c r="AE148" i="1"/>
  <c r="AE285" i="1"/>
  <c r="AC337" i="1"/>
  <c r="AC217" i="1"/>
  <c r="AF167" i="1"/>
  <c r="AG190" i="1"/>
  <c r="AG181" i="1"/>
  <c r="AF241" i="1"/>
  <c r="AF455" i="1"/>
  <c r="AG318" i="1"/>
  <c r="AB213" i="1"/>
  <c r="AA350" i="1"/>
  <c r="AA341" i="1"/>
  <c r="AA473" i="1"/>
  <c r="AB219" i="1"/>
  <c r="AG73" i="1"/>
  <c r="AB69" i="1"/>
  <c r="AC195" i="1"/>
  <c r="AE106" i="1"/>
  <c r="AC255" i="1"/>
  <c r="AG223" i="1"/>
  <c r="AD367" i="1"/>
  <c r="AD424" i="1"/>
  <c r="AC174" i="1"/>
  <c r="AF265" i="1"/>
  <c r="AG382" i="1"/>
  <c r="AB73" i="1"/>
  <c r="AA327" i="1"/>
  <c r="AG317" i="1"/>
  <c r="AA348" i="1"/>
  <c r="AF413" i="1"/>
  <c r="AC231" i="1"/>
  <c r="AG432" i="1"/>
  <c r="AG213" i="1"/>
  <c r="AD360" i="1"/>
  <c r="AB470" i="1"/>
  <c r="AF267" i="1"/>
  <c r="AF42" i="1"/>
  <c r="AB30" i="1"/>
  <c r="AE111" i="1"/>
  <c r="AG50" i="1"/>
  <c r="AC53" i="1"/>
  <c r="AC34" i="1"/>
  <c r="AF426" i="1"/>
  <c r="AE50" i="1"/>
  <c r="AD308" i="1"/>
  <c r="AB354" i="1"/>
  <c r="AG71" i="1"/>
  <c r="AA317" i="1"/>
  <c r="AD317" i="1"/>
  <c r="AE453" i="1"/>
  <c r="AE461" i="1"/>
  <c r="AG370" i="1"/>
  <c r="AF62" i="1"/>
  <c r="AF184" i="1"/>
  <c r="AF472" i="1"/>
  <c r="AB323" i="1"/>
  <c r="AG442" i="1"/>
  <c r="AD265" i="1"/>
  <c r="AC390" i="1"/>
  <c r="AE437" i="1"/>
  <c r="AC131" i="1"/>
  <c r="AA193" i="1"/>
  <c r="AD463" i="1"/>
  <c r="AA80" i="1"/>
  <c r="AE382" i="1"/>
  <c r="AG156" i="1"/>
  <c r="AE53" i="1"/>
  <c r="AG398" i="1"/>
  <c r="AA359" i="1"/>
  <c r="AB54" i="1"/>
  <c r="AE44" i="1"/>
  <c r="AG270" i="1"/>
  <c r="AB327" i="1"/>
  <c r="AD114" i="1"/>
  <c r="AA218" i="1"/>
  <c r="AC45" i="1"/>
  <c r="AE351" i="1"/>
  <c r="AG443" i="1"/>
  <c r="AB300" i="1"/>
  <c r="AB46" i="1"/>
  <c r="AF160" i="1"/>
  <c r="AC357" i="1"/>
  <c r="AE102" i="1"/>
  <c r="AC160" i="1"/>
  <c r="AB133" i="1"/>
  <c r="AB322" i="1"/>
  <c r="AF383" i="1"/>
  <c r="AF67" i="1"/>
  <c r="AC400" i="1"/>
  <c r="AA382" i="1"/>
  <c r="AD97" i="1"/>
  <c r="AC186" i="1"/>
  <c r="AB251" i="1"/>
  <c r="AB143" i="1"/>
  <c r="AE249" i="1"/>
  <c r="AF161" i="1"/>
  <c r="AC326" i="1"/>
  <c r="AA400" i="1"/>
  <c r="AG461" i="1"/>
  <c r="AD76" i="1"/>
  <c r="AB385" i="1"/>
  <c r="AC259" i="1"/>
  <c r="AE76" i="1"/>
  <c r="AC119" i="1"/>
  <c r="AC210" i="1"/>
  <c r="AB170" i="1"/>
  <c r="AE127" i="1"/>
  <c r="AA156" i="1"/>
  <c r="AG228" i="1"/>
  <c r="AD134" i="1"/>
  <c r="AG386" i="1"/>
  <c r="AG76" i="1"/>
  <c r="AA330" i="1"/>
  <c r="AF388" i="1"/>
  <c r="AE194" i="1"/>
  <c r="AC392" i="1"/>
  <c r="AG196" i="1"/>
  <c r="AA417" i="1"/>
  <c r="AF397" i="1"/>
  <c r="AB424" i="1"/>
  <c r="AF277" i="1"/>
  <c r="AF462" i="1"/>
  <c r="AC245" i="1"/>
  <c r="AB326" i="1"/>
  <c r="AC344" i="1"/>
  <c r="AD423" i="1"/>
  <c r="AB285" i="1"/>
  <c r="AG68" i="1"/>
  <c r="AD479" i="1"/>
  <c r="AE333" i="1"/>
  <c r="AF438" i="1"/>
  <c r="AF132" i="1"/>
  <c r="AC280" i="1"/>
  <c r="AE316" i="1"/>
  <c r="AA374" i="1"/>
  <c r="AD385" i="1"/>
  <c r="AE304" i="1"/>
  <c r="AF380" i="1"/>
  <c r="AA128" i="1"/>
  <c r="AC442" i="1"/>
  <c r="AC464" i="1"/>
  <c r="AE343" i="1"/>
  <c r="AF448" i="1"/>
  <c r="AF411" i="1"/>
  <c r="AF147" i="1"/>
  <c r="AF341" i="1"/>
  <c r="AF352" i="1"/>
  <c r="AF200" i="1"/>
  <c r="AE84" i="1"/>
  <c r="AC234" i="1"/>
  <c r="AG307" i="1"/>
  <c r="AB462" i="1"/>
  <c r="AC282" i="1"/>
  <c r="AB433" i="1"/>
  <c r="AG313" i="1"/>
  <c r="AG69" i="1"/>
  <c r="AE274" i="1"/>
  <c r="AB297" i="1"/>
  <c r="AB150" i="1"/>
  <c r="AC114" i="1"/>
  <c r="AB274" i="1"/>
  <c r="AE161" i="1"/>
  <c r="AA46" i="1"/>
  <c r="AE41" i="1"/>
  <c r="AA283" i="1"/>
  <c r="AE131" i="1"/>
  <c r="AA277" i="1"/>
  <c r="AG171" i="1"/>
  <c r="AG151" i="1"/>
  <c r="AD394" i="1"/>
  <c r="AC117" i="1"/>
  <c r="AD427" i="1"/>
  <c r="AD392" i="1"/>
  <c r="AE368" i="1"/>
  <c r="AC201" i="1"/>
  <c r="AG399" i="1"/>
  <c r="AE192" i="1"/>
  <c r="AA253" i="1"/>
  <c r="AA191" i="1"/>
  <c r="AA269" i="1"/>
  <c r="AF346" i="1"/>
  <c r="AD391" i="1"/>
  <c r="AD409" i="1"/>
  <c r="AG66" i="1"/>
  <c r="AB373" i="1"/>
  <c r="AB80" i="1"/>
  <c r="AB423" i="1"/>
  <c r="AF408" i="1"/>
  <c r="AB189" i="1"/>
  <c r="AG197" i="1"/>
  <c r="AG438" i="1"/>
  <c r="AC273" i="1"/>
  <c r="AF271" i="1"/>
  <c r="AF95" i="1"/>
  <c r="AB130" i="1"/>
  <c r="AD108" i="1"/>
  <c r="AG473" i="1"/>
  <c r="AG70" i="1"/>
  <c r="AG408" i="1"/>
  <c r="AB121" i="1"/>
  <c r="AC472" i="1"/>
  <c r="AF247" i="1"/>
  <c r="AE213" i="1"/>
  <c r="AE97" i="1"/>
  <c r="AA264" i="1"/>
  <c r="AC313" i="1"/>
  <c r="AE337" i="1"/>
  <c r="AC301" i="1"/>
  <c r="AF103" i="1"/>
  <c r="AC283" i="1"/>
  <c r="AB214" i="1"/>
  <c r="AG169" i="1"/>
  <c r="AB76" i="1"/>
  <c r="AE149" i="1"/>
  <c r="AE215" i="1"/>
  <c r="AE36" i="1"/>
  <c r="AG102" i="1"/>
  <c r="AA121" i="1"/>
  <c r="AF121" i="1"/>
  <c r="AF363" i="1"/>
  <c r="AF169" i="1"/>
  <c r="AF230" i="1"/>
  <c r="AA395" i="1"/>
  <c r="AF420" i="1"/>
  <c r="AG362" i="1"/>
  <c r="AC346" i="1"/>
  <c r="AC198" i="1"/>
  <c r="AG201" i="1"/>
  <c r="AF384" i="1"/>
  <c r="AC96" i="1"/>
  <c r="AC310" i="1"/>
  <c r="AG355" i="1"/>
  <c r="AC130" i="1"/>
  <c r="AD92" i="1"/>
  <c r="AC425" i="1"/>
  <c r="AE344" i="1"/>
  <c r="AF38" i="1"/>
  <c r="AB292" i="1"/>
  <c r="AD66" i="1"/>
  <c r="AB70" i="1"/>
  <c r="AB386" i="1"/>
  <c r="AC197" i="1"/>
  <c r="AB405" i="1"/>
  <c r="AG471" i="1"/>
  <c r="AD31" i="1"/>
  <c r="AC181" i="1"/>
  <c r="AD49" i="1"/>
  <c r="AC387" i="1"/>
  <c r="AG457" i="1"/>
  <c r="AE286" i="1"/>
  <c r="AC129" i="1"/>
  <c r="AB357" i="1"/>
  <c r="AG210" i="1"/>
  <c r="AG234" i="1"/>
  <c r="AG93" i="1"/>
  <c r="AE390" i="1"/>
  <c r="AG241" i="1"/>
  <c r="AA129" i="1"/>
  <c r="AB37" i="1"/>
  <c r="AC208" i="1"/>
  <c r="AB376" i="1"/>
  <c r="AD269" i="1"/>
  <c r="AG448" i="1"/>
  <c r="AE339" i="1"/>
  <c r="AC112" i="1"/>
  <c r="AG103" i="1"/>
  <c r="AD112" i="1"/>
  <c r="AC339" i="1"/>
  <c r="AD375" i="1"/>
  <c r="AC43" i="1"/>
  <c r="AE54" i="1"/>
  <c r="AB329" i="1"/>
  <c r="AE43" i="1"/>
  <c r="AC318" i="1"/>
  <c r="AD273" i="1"/>
  <c r="AA257" i="1"/>
  <c r="AC369" i="1"/>
  <c r="AB111" i="1"/>
  <c r="AB394" i="1"/>
  <c r="AD88" i="1"/>
  <c r="AF114" i="1"/>
  <c r="AD157" i="1"/>
  <c r="AG123" i="1"/>
  <c r="AF281" i="1"/>
  <c r="AA475" i="1"/>
  <c r="AA310" i="1"/>
  <c r="AA328" i="1"/>
  <c r="AC230" i="1"/>
  <c r="AF238" i="1"/>
  <c r="AG304" i="1"/>
  <c r="AB452" i="1"/>
  <c r="AA423" i="1"/>
  <c r="AD186" i="1"/>
  <c r="AA307" i="1"/>
  <c r="AG195" i="1"/>
  <c r="AC404" i="1"/>
  <c r="AA244" i="1"/>
  <c r="AB102" i="1"/>
  <c r="AC107" i="1"/>
  <c r="AE455" i="1"/>
  <c r="AB337" i="1"/>
  <c r="AF258" i="1"/>
  <c r="AC312" i="1"/>
  <c r="AD452" i="1"/>
  <c r="AE312" i="1"/>
  <c r="AB296" i="1"/>
  <c r="AE434" i="1"/>
  <c r="AD366" i="1"/>
  <c r="AF285" i="1"/>
  <c r="AD105" i="1"/>
  <c r="AG248" i="1"/>
  <c r="AG334" i="1"/>
  <c r="AB92" i="1"/>
  <c r="AG387" i="1"/>
  <c r="AD120" i="1"/>
  <c r="AC164" i="1"/>
  <c r="AE109" i="1"/>
  <c r="AD218" i="1"/>
  <c r="AB388" i="1"/>
  <c r="AA62" i="1"/>
  <c r="AE478" i="1"/>
  <c r="AE373" i="1"/>
  <c r="AA194" i="1"/>
  <c r="AB71" i="1"/>
  <c r="AG312" i="1"/>
  <c r="AB307" i="1"/>
  <c r="AE374" i="1"/>
  <c r="AB177" i="1"/>
  <c r="AG164" i="1"/>
  <c r="AF59" i="1"/>
  <c r="AD275" i="1"/>
  <c r="AE129" i="1"/>
  <c r="AF447" i="1"/>
  <c r="AD237" i="1"/>
  <c r="AA35" i="1"/>
  <c r="AA188" i="1"/>
  <c r="AF442" i="1"/>
  <c r="AG292" i="1"/>
  <c r="AA100" i="1"/>
  <c r="AD138" i="1"/>
  <c r="AB53" i="1"/>
  <c r="AG458" i="1"/>
  <c r="AB205" i="1"/>
  <c r="AA206" i="1"/>
  <c r="AA463" i="1"/>
  <c r="AF143" i="1"/>
  <c r="AF386" i="1"/>
  <c r="AC389" i="1"/>
  <c r="AB215" i="1"/>
  <c r="AA271" i="1"/>
  <c r="AC109" i="1"/>
  <c r="AB371" i="1"/>
  <c r="AB367" i="1"/>
  <c r="AC350" i="1"/>
  <c r="AE410" i="1"/>
  <c r="AF477" i="1"/>
  <c r="AC167" i="1"/>
  <c r="AB109" i="1"/>
  <c r="AB425" i="1"/>
  <c r="AE52" i="1"/>
  <c r="AE397" i="1"/>
  <c r="AE272" i="1"/>
  <c r="AA413" i="1"/>
  <c r="AE138" i="1"/>
  <c r="AC345" i="1"/>
  <c r="AF96" i="1"/>
  <c r="AG342" i="1"/>
  <c r="AA174" i="1"/>
  <c r="AC268" i="1"/>
  <c r="AC86" i="1"/>
  <c r="AC88" i="1"/>
  <c r="AA333" i="1"/>
  <c r="AE342" i="1"/>
  <c r="AF91" i="1"/>
  <c r="AF274" i="1"/>
  <c r="AC450" i="1"/>
  <c r="AD256" i="1"/>
  <c r="AC243" i="1"/>
  <c r="AF154" i="1"/>
  <c r="AF350" i="1"/>
  <c r="AD465" i="1"/>
  <c r="AE447" i="1"/>
  <c r="AC77" i="1"/>
  <c r="AC398" i="1"/>
  <c r="AB99" i="1"/>
  <c r="AD67" i="1"/>
  <c r="AE203" i="1"/>
  <c r="AA431" i="1"/>
  <c r="AB159" i="1"/>
  <c r="AF479" i="1"/>
  <c r="AA204" i="1"/>
  <c r="AG107" i="1"/>
  <c r="AA391" i="1"/>
  <c r="AA458" i="1"/>
  <c r="AA454" i="1"/>
  <c r="AD191" i="1"/>
  <c r="AE158" i="1"/>
  <c r="AG37" i="1"/>
  <c r="AD240" i="1"/>
  <c r="AC153" i="1"/>
  <c r="AA228" i="1"/>
  <c r="AC278" i="1"/>
  <c r="AC159" i="1"/>
  <c r="AE441" i="1"/>
  <c r="AA217" i="1"/>
  <c r="AC410" i="1"/>
  <c r="AF361" i="1"/>
  <c r="AC314" i="1"/>
  <c r="AE424" i="1"/>
  <c r="AB442" i="1"/>
  <c r="AG128" i="1"/>
  <c r="AG262" i="1"/>
  <c r="AE236" i="1"/>
  <c r="AE122" i="1"/>
  <c r="AE465" i="1"/>
  <c r="AD151" i="1"/>
  <c r="AB282" i="1"/>
  <c r="AF338" i="1"/>
  <c r="AC106" i="1"/>
  <c r="AB477" i="1"/>
  <c r="AB446" i="1"/>
  <c r="AG145" i="1"/>
  <c r="AF29" i="1"/>
  <c r="AG277" i="1"/>
  <c r="AG122" i="1"/>
  <c r="AE121" i="1"/>
  <c r="AG336" i="1"/>
  <c r="AA154" i="1"/>
  <c r="AC422" i="1"/>
  <c r="AC426" i="1"/>
  <c r="AD313" i="1"/>
  <c r="AA438" i="1"/>
  <c r="AD315" i="1"/>
  <c r="AF367" i="1"/>
  <c r="AB57" i="1"/>
  <c r="AC37" i="1"/>
  <c r="AF127" i="1"/>
  <c r="AA319" i="1"/>
  <c r="AD82" i="1"/>
  <c r="AG349" i="1"/>
  <c r="AD353" i="1"/>
  <c r="AC295" i="1"/>
  <c r="AA251" i="1"/>
  <c r="AD255" i="1"/>
  <c r="AA91" i="1"/>
  <c r="AG165" i="1"/>
  <c r="AB364" i="1"/>
  <c r="AE280" i="1"/>
  <c r="AE430" i="1"/>
  <c r="AC69" i="1"/>
  <c r="AD482" i="1"/>
  <c r="AC418" i="1"/>
  <c r="AF300" i="1"/>
  <c r="AC185" i="1"/>
  <c r="AB234" i="1"/>
  <c r="AD80" i="1"/>
  <c r="AB412" i="1"/>
  <c r="AA143" i="1"/>
  <c r="AF122" i="1"/>
  <c r="AF116" i="1"/>
  <c r="AF395" i="1"/>
  <c r="AF186" i="1"/>
  <c r="AA465" i="1"/>
  <c r="AD284" i="1"/>
  <c r="AA233" i="1"/>
  <c r="AG105" i="1"/>
  <c r="AE31" i="1"/>
  <c r="AB458" i="1"/>
  <c r="AD454" i="1"/>
  <c r="AD38" i="1"/>
  <c r="AF292" i="1"/>
  <c r="AE204" i="1"/>
  <c r="AF453" i="1"/>
  <c r="AA464" i="1"/>
  <c r="AC281" i="1"/>
  <c r="AF319" i="1"/>
  <c r="AC207" i="1"/>
  <c r="AG377" i="1"/>
  <c r="AA270" i="1"/>
  <c r="AE293" i="1"/>
  <c r="AG235" i="1"/>
  <c r="AE141" i="1"/>
  <c r="AA110" i="1"/>
  <c r="AB264" i="1"/>
  <c r="AC402" i="1"/>
  <c r="AC78" i="1"/>
  <c r="AG207" i="1"/>
  <c r="AB309" i="1"/>
  <c r="AA371" i="1"/>
  <c r="AF298" i="1"/>
  <c r="AD174" i="1"/>
  <c r="AG85" i="1"/>
  <c r="AB36" i="1"/>
  <c r="AF416" i="1"/>
  <c r="AF244" i="1"/>
  <c r="AF432" i="1"/>
  <c r="AB106" i="1"/>
  <c r="AB203" i="1"/>
  <c r="AA430" i="1"/>
  <c r="AG446" i="1"/>
  <c r="AG221" i="1"/>
  <c r="AG272" i="1"/>
  <c r="AC49" i="1"/>
  <c r="AD214" i="1"/>
  <c r="AF104" i="1"/>
  <c r="AB125" i="1"/>
  <c r="AE384" i="1"/>
  <c r="AC213" i="1"/>
  <c r="AE479" i="1"/>
  <c r="AE315" i="1"/>
  <c r="AG407" i="1"/>
  <c r="AG219" i="1"/>
  <c r="AD448" i="1"/>
  <c r="AA155" i="1"/>
  <c r="AB175" i="1"/>
  <c r="AG481" i="1"/>
  <c r="AE95" i="1"/>
  <c r="AB330" i="1"/>
  <c r="AB453" i="1"/>
  <c r="AC266" i="1"/>
  <c r="AA442" i="1"/>
  <c r="AF92" i="1"/>
  <c r="AB190" i="1"/>
  <c r="AG378" i="1"/>
  <c r="AF369" i="1"/>
  <c r="AA476" i="1"/>
  <c r="AA237" i="1"/>
  <c r="AF94" i="1"/>
  <c r="AC358" i="1"/>
  <c r="AF344" i="1"/>
  <c r="AA52" i="1"/>
  <c r="AB417" i="1"/>
  <c r="AA85" i="1"/>
  <c r="AE407" i="1"/>
  <c r="AD368" i="1"/>
  <c r="AG444" i="1"/>
  <c r="AB186" i="1"/>
  <c r="AD215" i="1"/>
  <c r="AB480" i="1"/>
  <c r="AA148" i="1"/>
  <c r="AG30" i="1"/>
  <c r="AE367" i="1"/>
  <c r="AE378" i="1"/>
  <c r="AD41" i="1"/>
  <c r="AC171" i="1"/>
  <c r="AE94" i="1"/>
  <c r="AF39" i="1"/>
  <c r="AF52" i="1"/>
  <c r="AE375" i="1"/>
  <c r="AE458" i="1"/>
  <c r="AG396" i="1"/>
  <c r="AD190" i="1"/>
  <c r="AE78" i="1"/>
  <c r="AD283" i="1"/>
  <c r="AB246" i="1"/>
  <c r="AG130" i="1"/>
  <c r="AA324" i="1"/>
  <c r="AE466" i="1"/>
  <c r="AF353" i="1"/>
  <c r="AB96" i="1"/>
  <c r="AA93" i="1"/>
  <c r="AD159" i="1"/>
  <c r="AC66" i="1"/>
  <c r="AG99" i="1"/>
  <c r="AG319" i="1"/>
  <c r="AF280" i="1"/>
  <c r="AD372" i="1"/>
  <c r="AA281" i="1"/>
  <c r="AA325" i="1"/>
  <c r="AF239" i="1"/>
  <c r="AD467" i="1"/>
  <c r="AE326" i="1"/>
  <c r="AB299" i="1"/>
  <c r="AB313" i="1"/>
  <c r="AB271" i="1"/>
  <c r="AD324" i="1"/>
  <c r="AC322" i="1"/>
  <c r="AG239" i="1"/>
  <c r="AE40" i="1"/>
  <c r="AF231" i="1"/>
  <c r="AE418" i="1"/>
  <c r="AB144" i="1"/>
  <c r="AA272" i="1"/>
  <c r="AA112" i="1"/>
  <c r="AC431" i="1"/>
  <c r="AG297" i="1"/>
  <c r="AD208" i="1"/>
  <c r="AC428" i="1"/>
  <c r="AA94" i="1"/>
  <c r="AA198" i="1"/>
  <c r="AF87" i="1"/>
  <c r="AB321" i="1"/>
  <c r="AG63" i="1"/>
  <c r="AA455" i="1"/>
  <c r="AE328" i="1"/>
  <c r="AA420" i="1"/>
  <c r="AA334" i="1"/>
  <c r="AB482" i="1"/>
  <c r="AB478" i="1"/>
  <c r="AG133" i="1"/>
  <c r="AF75" i="1"/>
  <c r="AD43" i="1"/>
  <c r="AB193" i="1"/>
  <c r="AE371" i="1"/>
  <c r="AE143" i="1"/>
  <c r="AC54" i="1"/>
  <c r="AA443" i="1"/>
  <c r="AB340" i="1"/>
  <c r="AF296" i="1"/>
  <c r="AD232" i="1"/>
  <c r="AA315" i="1"/>
  <c r="AD144" i="1"/>
  <c r="AE212" i="1"/>
  <c r="AG129" i="1"/>
  <c r="AE87" i="1"/>
  <c r="AG220" i="1"/>
  <c r="AB161" i="1"/>
  <c r="AF261" i="1"/>
  <c r="AD224" i="1"/>
  <c r="AC343" i="1"/>
  <c r="AF400" i="1"/>
  <c r="AF286" i="1"/>
  <c r="AG429" i="1"/>
  <c r="AF80" i="1"/>
  <c r="AG174" i="1"/>
  <c r="AC473" i="1"/>
  <c r="AG134" i="1"/>
  <c r="AC338" i="1"/>
  <c r="AC333" i="1"/>
  <c r="AB288" i="1"/>
  <c r="AD226" i="1"/>
  <c r="AD195" i="1"/>
  <c r="AD187" i="1"/>
  <c r="AF176" i="1"/>
  <c r="AE48" i="1"/>
  <c r="AC465" i="1"/>
  <c r="AG89" i="1"/>
  <c r="AC285" i="1"/>
  <c r="AC482" i="1"/>
  <c r="AC293" i="1"/>
  <c r="AD258" i="1"/>
  <c r="AE256" i="1"/>
  <c r="AC355" i="1"/>
  <c r="AE238" i="1"/>
  <c r="AE258" i="1"/>
  <c r="AG255" i="1"/>
  <c r="AA403" i="1"/>
  <c r="AF308" i="1"/>
  <c r="AF192" i="1"/>
  <c r="AC182" i="1"/>
  <c r="AD446" i="1"/>
  <c r="AA118" i="1"/>
  <c r="AA326" i="1"/>
  <c r="AC461" i="1"/>
  <c r="AA377" i="1"/>
  <c r="AD341" i="1"/>
  <c r="AA186" i="1"/>
  <c r="AE281" i="1"/>
  <c r="AE130" i="1"/>
  <c r="AG215" i="1"/>
  <c r="AD254" i="1"/>
  <c r="AB29" i="1"/>
  <c r="AE224" i="1"/>
  <c r="AC132" i="1"/>
  <c r="AB158" i="1"/>
  <c r="AG75" i="1"/>
  <c r="AB316" i="1"/>
  <c r="AG40" i="1"/>
  <c r="AF168" i="1"/>
  <c r="AE183" i="1"/>
  <c r="AC248" i="1"/>
  <c r="AB284" i="1"/>
  <c r="AE347" i="1"/>
  <c r="AD169" i="1"/>
  <c r="AE100" i="1"/>
  <c r="AC299" i="1"/>
  <c r="AD57" i="1"/>
  <c r="AF260" i="1"/>
  <c r="AE116" i="1"/>
  <c r="AB194" i="1"/>
  <c r="AA479" i="1"/>
  <c r="AG36" i="1"/>
  <c r="AF478" i="1"/>
  <c r="AF117" i="1"/>
  <c r="AB63" i="1"/>
  <c r="AF294" i="1"/>
  <c r="AB400" i="1"/>
  <c r="AG233" i="1"/>
  <c r="AG462" i="1"/>
  <c r="AF481" i="1"/>
  <c r="AG467" i="1"/>
  <c r="AA280" i="1"/>
  <c r="AE391" i="1"/>
  <c r="AE330" i="1"/>
  <c r="AE473" i="1"/>
  <c r="AF393" i="1"/>
  <c r="AD253" i="1"/>
  <c r="AF82" i="1"/>
  <c r="AA336" i="1"/>
  <c r="AC373" i="1"/>
  <c r="AB290" i="1"/>
  <c r="AF406" i="1"/>
  <c r="AE240" i="1"/>
  <c r="AB41" i="1"/>
  <c r="AE184" i="1"/>
  <c r="AG339" i="1"/>
  <c r="AE232" i="1"/>
  <c r="AF102" i="1"/>
  <c r="AD373" i="1"/>
  <c r="AF326" i="1"/>
  <c r="AE317" i="1"/>
  <c r="AA288" i="1"/>
  <c r="AE278" i="1"/>
  <c r="AD29" i="1"/>
  <c r="AB116" i="1"/>
  <c r="AF185" i="1"/>
  <c r="AC138" i="1"/>
  <c r="AB360" i="1"/>
  <c r="AF272" i="1"/>
  <c r="AC269" i="1"/>
  <c r="AE269" i="1"/>
  <c r="AA381" i="1"/>
  <c r="AC320" i="1"/>
  <c r="AA404" i="1"/>
  <c r="AA158" i="1"/>
  <c r="AC189" i="1"/>
  <c r="AC300" i="1"/>
  <c r="AC169" i="1"/>
  <c r="AA203" i="1"/>
  <c r="AE389" i="1"/>
  <c r="AA255" i="1"/>
  <c r="AE245" i="1"/>
  <c r="AE103" i="1"/>
  <c r="AE416" i="1"/>
  <c r="AD354" i="1"/>
  <c r="AE159" i="1"/>
  <c r="AC433" i="1"/>
  <c r="AE406" i="1"/>
  <c r="AF181" i="1"/>
  <c r="AF173" i="1"/>
  <c r="AG389" i="1"/>
  <c r="AC330" i="1"/>
  <c r="AE49" i="1"/>
  <c r="AA207" i="1"/>
  <c r="AB145" i="1"/>
  <c r="AG420" i="1"/>
  <c r="AF150" i="1"/>
  <c r="AB174" i="1"/>
  <c r="AE77" i="1"/>
  <c r="AA220" i="1"/>
  <c r="AC72" i="1"/>
  <c r="AA173" i="1"/>
  <c r="AB242" i="1"/>
  <c r="AC80" i="1"/>
  <c r="AC221" i="1"/>
  <c r="AE62" i="1"/>
  <c r="AB50" i="1"/>
  <c r="AF246" i="1"/>
  <c r="AC307" i="1"/>
  <c r="AB464" i="1"/>
  <c r="AE118" i="1"/>
  <c r="AD48" i="1"/>
  <c r="AC412" i="1"/>
  <c r="AA223" i="1"/>
  <c r="AB239" i="1"/>
  <c r="AG288" i="1"/>
  <c r="AA134" i="1"/>
  <c r="AD386" i="1"/>
  <c r="AG345" i="1"/>
  <c r="AA290" i="1"/>
  <c r="AD219" i="1"/>
  <c r="AD420" i="1"/>
  <c r="AD116" i="1"/>
  <c r="AD101" i="1"/>
  <c r="AB375" i="1"/>
  <c r="AE65" i="1"/>
  <c r="AG34" i="1"/>
  <c r="AA142" i="1"/>
  <c r="AF335" i="1"/>
  <c r="AE169" i="1"/>
  <c r="AF113" i="1"/>
  <c r="AF264" i="1"/>
  <c r="AG166" i="1"/>
  <c r="AE400" i="1"/>
  <c r="AD401" i="1"/>
  <c r="AC105" i="1"/>
  <c r="AA235" i="1"/>
  <c r="AB94" i="1"/>
  <c r="AC30" i="1"/>
  <c r="AE170" i="1"/>
  <c r="AA157" i="1"/>
  <c r="AD299" i="1"/>
  <c r="AG323" i="1"/>
  <c r="AD336" i="1"/>
  <c r="AA68" i="1"/>
  <c r="AB358" i="1"/>
  <c r="AG218" i="1"/>
  <c r="AG109" i="1"/>
  <c r="AC388" i="1"/>
  <c r="AF98" i="1"/>
  <c r="AB171" i="1"/>
  <c r="AG282" i="1"/>
  <c r="AA144" i="1"/>
  <c r="AB382" i="1"/>
  <c r="AC334" i="1"/>
  <c r="AA300" i="1"/>
  <c r="AD365" i="1"/>
  <c r="AD374" i="1"/>
  <c r="AA185" i="1"/>
  <c r="AE59" i="1"/>
  <c r="AE254" i="1"/>
  <c r="AE294" i="1"/>
  <c r="AE402" i="1"/>
  <c r="AD456" i="1"/>
  <c r="AG247" i="1"/>
  <c r="AE190" i="1"/>
  <c r="AB237" i="1"/>
  <c r="AB98" i="1"/>
  <c r="AD263" i="1"/>
  <c r="AA471" i="1"/>
  <c r="AE428" i="1"/>
  <c r="AC479" i="1"/>
  <c r="AD188" i="1"/>
  <c r="AG404" i="1"/>
  <c r="AF182" i="1"/>
  <c r="AF362" i="1"/>
  <c r="AA384" i="1"/>
  <c r="AE404" i="1"/>
  <c r="AB351" i="1"/>
  <c r="AE464" i="1"/>
  <c r="AE211" i="1"/>
  <c r="AB429" i="1"/>
  <c r="AD348" i="1"/>
  <c r="AB454" i="1"/>
  <c r="AF140" i="1"/>
  <c r="AD40" i="1"/>
  <c r="AA364" i="1"/>
  <c r="AA351" i="1"/>
  <c r="AC148" i="1"/>
  <c r="AG350" i="1"/>
  <c r="AC274" i="1"/>
  <c r="AB431" i="1"/>
  <c r="AA248" i="1"/>
  <c r="AG305" i="1"/>
  <c r="AE388" i="1"/>
  <c r="AF444" i="1"/>
  <c r="AA104" i="1"/>
  <c r="AA99" i="1"/>
  <c r="AB374" i="1"/>
  <c r="AC62" i="1"/>
  <c r="AG167" i="1"/>
  <c r="AC32" i="1"/>
  <c r="AE216" i="1"/>
  <c r="AD223" i="1"/>
  <c r="AD262" i="1"/>
  <c r="AD296" i="1"/>
  <c r="AD64" i="1"/>
  <c r="AB318" i="1"/>
  <c r="AE432" i="1"/>
  <c r="AG238" i="1"/>
  <c r="AA106" i="1"/>
  <c r="AE90" i="1"/>
  <c r="AA474" i="1"/>
  <c r="AB334" i="1"/>
  <c r="AC238" i="1"/>
  <c r="AA323" i="1"/>
  <c r="AA432" i="1"/>
  <c r="AF372" i="1"/>
  <c r="AB238" i="1"/>
  <c r="AD304" i="1"/>
  <c r="AG159" i="1"/>
  <c r="AE463" i="1"/>
  <c r="AA422" i="1"/>
  <c r="AC349" i="1"/>
  <c r="AA282" i="1"/>
  <c r="AD79" i="1"/>
  <c r="AB249" i="1"/>
  <c r="AC270" i="1"/>
  <c r="AA306" i="1"/>
  <c r="AA468" i="1"/>
  <c r="AF197" i="1"/>
  <c r="AB236" i="1"/>
  <c r="AF41" i="1"/>
  <c r="AA146" i="1"/>
  <c r="AB320" i="1"/>
  <c r="AG211" i="1"/>
  <c r="AD311" i="1"/>
  <c r="AC380" i="1"/>
  <c r="AE452" i="1"/>
  <c r="AC258" i="1"/>
  <c r="AG284" i="1"/>
  <c r="AC403" i="1"/>
  <c r="AG380" i="1"/>
  <c r="AC161" i="1"/>
  <c r="AB243" i="1"/>
  <c r="AF471" i="1"/>
  <c r="AF313" i="1"/>
  <c r="AA240" i="1"/>
  <c r="AG465" i="1"/>
  <c r="AE381" i="1"/>
  <c r="AF291" i="1"/>
  <c r="AC212" i="1"/>
  <c r="AF403" i="1"/>
  <c r="AD449" i="1"/>
  <c r="AA337" i="1"/>
  <c r="AG472" i="1"/>
  <c r="AC89" i="1"/>
  <c r="AG423" i="1"/>
  <c r="AA189" i="1"/>
  <c r="AB341" i="1"/>
  <c r="AC309" i="1"/>
  <c r="AC423" i="1"/>
  <c r="AB220" i="1"/>
  <c r="AB259" i="1"/>
  <c r="AC413" i="1"/>
  <c r="AC378" i="1"/>
  <c r="AE277" i="1"/>
  <c r="AA415" i="1"/>
  <c r="AG245" i="1"/>
  <c r="AA98" i="1"/>
  <c r="AE72" i="1"/>
  <c r="AC448" i="1"/>
  <c r="AG308" i="1"/>
  <c r="AE414" i="1"/>
  <c r="AA360" i="1"/>
  <c r="AB421" i="1"/>
  <c r="AG252" i="1"/>
  <c r="AB440" i="1"/>
  <c r="AD110" i="1"/>
  <c r="AG416" i="1"/>
  <c r="AD136" i="1"/>
  <c r="AG29" i="1"/>
  <c r="AA252" i="1"/>
  <c r="AG478" i="1"/>
  <c r="AC419" i="1"/>
  <c r="AG230" i="1"/>
  <c r="AC458" i="1"/>
  <c r="AD370" i="1"/>
  <c r="AB178" i="1"/>
  <c r="AC227" i="1"/>
  <c r="AA450" i="1"/>
  <c r="AE439" i="1"/>
  <c r="AF451" i="1"/>
  <c r="AD54" i="1"/>
  <c r="AE150" i="1"/>
  <c r="AC173" i="1"/>
  <c r="AB187" i="1"/>
  <c r="AA363" i="1"/>
  <c r="AB183" i="1"/>
  <c r="AF470" i="1"/>
  <c r="AD32" i="1"/>
  <c r="AA258" i="1"/>
  <c r="AC177" i="1"/>
  <c r="AB380" i="1"/>
  <c r="AD227" i="1"/>
  <c r="AC439" i="1"/>
  <c r="AC121" i="1"/>
  <c r="AB467" i="1"/>
  <c r="AD163" i="1"/>
  <c r="AG439" i="1"/>
  <c r="AA181" i="1"/>
  <c r="AB427" i="1"/>
  <c r="AG178" i="1"/>
  <c r="AE349" i="1"/>
  <c r="AC475" i="1"/>
  <c r="AB396" i="1"/>
  <c r="AF415" i="1"/>
  <c r="AA58" i="1"/>
  <c r="AE325" i="1"/>
  <c r="AC103" i="1"/>
  <c r="AG320" i="1"/>
  <c r="AG440" i="1"/>
  <c r="AB395" i="1"/>
  <c r="AE348" i="1"/>
  <c r="AC157" i="1"/>
  <c r="AD78" i="1"/>
  <c r="AA192" i="1"/>
  <c r="AA78" i="1"/>
  <c r="AD457" i="1"/>
  <c r="AF89" i="1"/>
  <c r="AA119" i="1"/>
  <c r="AF177" i="1"/>
  <c r="AD334" i="1"/>
  <c r="AF434" i="1"/>
  <c r="AA224" i="1"/>
  <c r="AF203" i="1"/>
  <c r="AF356" i="1"/>
  <c r="AD290" i="1"/>
  <c r="AD349" i="1"/>
  <c r="AA239" i="1"/>
  <c r="AC430" i="1"/>
  <c r="AG414" i="1"/>
  <c r="AB202" i="1"/>
  <c r="AG400" i="1"/>
  <c r="AG148" i="1"/>
  <c r="AB279" i="1"/>
  <c r="AE178" i="1"/>
  <c r="AC235" i="1"/>
  <c r="AF251" i="1"/>
  <c r="AF97" i="1"/>
  <c r="AA338" i="1"/>
  <c r="AG132" i="1"/>
  <c r="AB418" i="1"/>
  <c r="AF304" i="1"/>
  <c r="AG480" i="1"/>
  <c r="AG360" i="1"/>
  <c r="AC73" i="1"/>
  <c r="AE145" i="1"/>
  <c r="AA161" i="1"/>
  <c r="AD128" i="1"/>
  <c r="AE214" i="1"/>
  <c r="AC342" i="1"/>
  <c r="AF460" i="1"/>
  <c r="AD95" i="1"/>
  <c r="AB344" i="1"/>
  <c r="AA208" i="1"/>
  <c r="AG114" i="1"/>
  <c r="AC440" i="1"/>
  <c r="AD167" i="1"/>
  <c r="AA241" i="1"/>
  <c r="AD234" i="1"/>
  <c r="AC296" i="1"/>
  <c r="AG214" i="1"/>
  <c r="AC317" i="1"/>
  <c r="AA61" i="1"/>
  <c r="AA141" i="1"/>
  <c r="AA136" i="1"/>
  <c r="AD231" i="1"/>
  <c r="AG81" i="1"/>
  <c r="AF398" i="1"/>
  <c r="AF250" i="1"/>
  <c r="AE251" i="1"/>
  <c r="AB157" i="1"/>
  <c r="AA309" i="1"/>
  <c r="AB463" i="1"/>
  <c r="AE162" i="1"/>
  <c r="AF275" i="1"/>
  <c r="AG83" i="1"/>
  <c r="AF188" i="1"/>
  <c r="AC376" i="1"/>
  <c r="AB233" i="1"/>
  <c r="AA472" i="1"/>
  <c r="AF191" i="1"/>
  <c r="AF142" i="1"/>
  <c r="AB206" i="1"/>
  <c r="AD221" i="1"/>
  <c r="AC151" i="1"/>
  <c r="AD34" i="1"/>
  <c r="AB406" i="1"/>
  <c r="AA419" i="1"/>
  <c r="AG271" i="1"/>
  <c r="AG391" i="1"/>
  <c r="AA433" i="1"/>
  <c r="AB61" i="1"/>
  <c r="AG409" i="1"/>
  <c r="AF240" i="1"/>
  <c r="AD74" i="1"/>
  <c r="AC162" i="1"/>
  <c r="AG147" i="1"/>
  <c r="AD133" i="1"/>
  <c r="AA445" i="1"/>
  <c r="AF124" i="1"/>
  <c r="AB165" i="1"/>
  <c r="AA354" i="1"/>
  <c r="AE229" i="1"/>
  <c r="AC95" i="1"/>
  <c r="AA421" i="1"/>
  <c r="AF198" i="1"/>
  <c r="AD106" i="1"/>
  <c r="AB252" i="1"/>
  <c r="AB43" i="1"/>
  <c r="AG110" i="1"/>
  <c r="AA42" i="1"/>
  <c r="AC203" i="1"/>
  <c r="AA375" i="1"/>
  <c r="AA77" i="1"/>
  <c r="AE387" i="1"/>
  <c r="AB210" i="1"/>
  <c r="AB468" i="1"/>
  <c r="AG447" i="1"/>
  <c r="AA302" i="1"/>
  <c r="AG421" i="1"/>
  <c r="AG51" i="1"/>
  <c r="AF450" i="1"/>
  <c r="AA57" i="1"/>
  <c r="AG269" i="1"/>
  <c r="AG278" i="1"/>
  <c r="AD387" i="1"/>
  <c r="AC434" i="1"/>
  <c r="AD363" i="1"/>
  <c r="AF409" i="1"/>
  <c r="AG264" i="1"/>
  <c r="AF441" i="1"/>
  <c r="AE364" i="1"/>
  <c r="AF61" i="1"/>
  <c r="AF211" i="1"/>
  <c r="AF120" i="1"/>
  <c r="AG344" i="1"/>
  <c r="AC298" i="1"/>
  <c r="AG173" i="1"/>
  <c r="AE134" i="1"/>
  <c r="AB142" i="1"/>
  <c r="AD404" i="1"/>
  <c r="AF418" i="1"/>
  <c r="AD390" i="1"/>
  <c r="AC111" i="1"/>
  <c r="AF137" i="1"/>
  <c r="AC241" i="1"/>
  <c r="AB226" i="1"/>
  <c r="AF288" i="1"/>
  <c r="AG242" i="1"/>
  <c r="AE112" i="1"/>
  <c r="AB378" i="1"/>
  <c r="AD236" i="1"/>
  <c r="AF223" i="1"/>
  <c r="AD102" i="1"/>
  <c r="AG98" i="1"/>
  <c r="AB141" i="1"/>
  <c r="AA89" i="1"/>
  <c r="AG340" i="1"/>
  <c r="AE369" i="1"/>
  <c r="AA386" i="1"/>
  <c r="AC386" i="1"/>
  <c r="AD399" i="1"/>
  <c r="AG301" i="1"/>
  <c r="AC279" i="1"/>
  <c r="AB34" i="1"/>
  <c r="AG39" i="1"/>
  <c r="AD122" i="1"/>
  <c r="AE443" i="1"/>
  <c r="AB49" i="1"/>
  <c r="AB481" i="1"/>
  <c r="AB119" i="1"/>
  <c r="AB60" i="1"/>
  <c r="AB410" i="1"/>
  <c r="AD60" i="1"/>
  <c r="AA246" i="1"/>
  <c r="AD84" i="1"/>
  <c r="AF209" i="1"/>
  <c r="AC139" i="1"/>
  <c r="AE360" i="1"/>
  <c r="AB100" i="1"/>
  <c r="AG97" i="1"/>
  <c r="AA376" i="1"/>
  <c r="AC244" i="1"/>
  <c r="AB188" i="1"/>
  <c r="AD170" i="1"/>
  <c r="AE120" i="1"/>
  <c r="AD252" i="1"/>
  <c r="AB293" i="1"/>
  <c r="AD91" i="1"/>
  <c r="AE423" i="1"/>
  <c r="AD89" i="1"/>
  <c r="AB151" i="1"/>
  <c r="AA169" i="1"/>
  <c r="AD166" i="1"/>
  <c r="AG254" i="1"/>
  <c r="AF446" i="1"/>
  <c r="AC83" i="1"/>
  <c r="AC460" i="1"/>
  <c r="AD440" i="1"/>
  <c r="AE242" i="1"/>
  <c r="AF423" i="1"/>
  <c r="AC237" i="1"/>
  <c r="AD47" i="1"/>
  <c r="AG188" i="1"/>
  <c r="AD396" i="1"/>
  <c r="AF84" i="1"/>
  <c r="AD410" i="1"/>
  <c r="AE470" i="1"/>
  <c r="AB52" i="1"/>
  <c r="AG113" i="1"/>
  <c r="AG263" i="1"/>
  <c r="AG358" i="1"/>
  <c r="AB128" i="1"/>
  <c r="AC324" i="1"/>
  <c r="AC74" i="1"/>
  <c r="AD228" i="1"/>
  <c r="AG348" i="1"/>
  <c r="AD176" i="1"/>
  <c r="AA467" i="1"/>
  <c r="AA66" i="1"/>
  <c r="AE34" i="1"/>
  <c r="AF57" i="1"/>
  <c r="AG162" i="1"/>
  <c r="AA368" i="1"/>
  <c r="AD279" i="1"/>
  <c r="AF454" i="1"/>
  <c r="AE289" i="1"/>
  <c r="AA97" i="1"/>
  <c r="AG381" i="1"/>
  <c r="AF473" i="1"/>
  <c r="AG193" i="1"/>
  <c r="AC275" i="1"/>
  <c r="AD98" i="1"/>
  <c r="AB444" i="1"/>
  <c r="AE55" i="1"/>
  <c r="AE61" i="1"/>
  <c r="AA469" i="1"/>
  <c r="AG118" i="1"/>
  <c r="AA187" i="1"/>
  <c r="AG183" i="1"/>
  <c r="AC155" i="1"/>
  <c r="AF337" i="1"/>
  <c r="AE324" i="1"/>
  <c r="AC147" i="1"/>
  <c r="AE144" i="1"/>
  <c r="AC232" i="1"/>
  <c r="AC251" i="1"/>
  <c r="AB217" i="1"/>
  <c r="AA407" i="1"/>
  <c r="AF330" i="1"/>
  <c r="AD327" i="1"/>
  <c r="AD418" i="1"/>
  <c r="AD451" i="1"/>
  <c r="AC246" i="1"/>
  <c r="AF349" i="1"/>
  <c r="AE126" i="1"/>
  <c r="AF228" i="1"/>
  <c r="AD35" i="1"/>
  <c r="AF476" i="1"/>
  <c r="AB45" i="1"/>
  <c r="AG158" i="1"/>
  <c r="AC261" i="1"/>
  <c r="AE151" i="1"/>
  <c r="AB465" i="1"/>
  <c r="AD425" i="1"/>
  <c r="AB199" i="1"/>
  <c r="AA378" i="1"/>
  <c r="AB287" i="1"/>
  <c r="AG155" i="1"/>
  <c r="AE262" i="1"/>
  <c r="AE124" i="1"/>
  <c r="AF407" i="1"/>
  <c r="AA113" i="1"/>
  <c r="AF40" i="1"/>
  <c r="AG192" i="1"/>
  <c r="AB95" i="1"/>
  <c r="AB447" i="1"/>
  <c r="AB108" i="1"/>
  <c r="AB383" i="1"/>
  <c r="AB196" i="1"/>
  <c r="AC408" i="1"/>
  <c r="AC370" i="1"/>
  <c r="AE386" i="1"/>
  <c r="AE154" i="1"/>
  <c r="AG62" i="1"/>
  <c r="AG191" i="1"/>
  <c r="AE115" i="1"/>
  <c r="AC108" i="1"/>
  <c r="AG395" i="1"/>
  <c r="AD419" i="1"/>
  <c r="AF174" i="1"/>
  <c r="AG125" i="1"/>
  <c r="AD293" i="1"/>
  <c r="AD436" i="1"/>
  <c r="AE290" i="1"/>
  <c r="AD242" i="1"/>
  <c r="AE308" i="1"/>
  <c r="AD83" i="1"/>
  <c r="AG115" i="1"/>
  <c r="AA406" i="1"/>
  <c r="AE476" i="1"/>
  <c r="AD316" i="1"/>
  <c r="AE301" i="1"/>
  <c r="AB263" i="1"/>
  <c r="AG101" i="1"/>
  <c r="AG299" i="1"/>
  <c r="AA312" i="1"/>
  <c r="AD209" i="1"/>
  <c r="AF273" i="1"/>
  <c r="AF482" i="1"/>
  <c r="AC406" i="1"/>
  <c r="AE253" i="1"/>
  <c r="AD172" i="1"/>
  <c r="AC170" i="1"/>
  <c r="AA346" i="1"/>
  <c r="AD359" i="1"/>
  <c r="AA353" i="1"/>
  <c r="AA409" i="1"/>
  <c r="AD276" i="1"/>
  <c r="AE336" i="1"/>
  <c r="AA50" i="1"/>
  <c r="AE128" i="1"/>
  <c r="AA456" i="1"/>
  <c r="AB355" i="1"/>
  <c r="AF221" i="1"/>
  <c r="AF387" i="1"/>
  <c r="AA345" i="1"/>
  <c r="AG289" i="1"/>
  <c r="AC222" i="1"/>
  <c r="AB117" i="1"/>
  <c r="AD300" i="1"/>
  <c r="AB68" i="1"/>
  <c r="AF47" i="1"/>
  <c r="AE202" i="1"/>
  <c r="AD137" i="1"/>
  <c r="AA130" i="1"/>
  <c r="AG406" i="1"/>
  <c r="AB59" i="1"/>
  <c r="AG161" i="1"/>
  <c r="AD289" i="1"/>
  <c r="AE83" i="1"/>
  <c r="AG111" i="1"/>
  <c r="AE445" i="1"/>
  <c r="AD63" i="1"/>
  <c r="AE268" i="1"/>
  <c r="AA477" i="1"/>
  <c r="AA177" i="1"/>
  <c r="AA59" i="1"/>
  <c r="AE302" i="1"/>
  <c r="AF295" i="1"/>
  <c r="AG376" i="1"/>
  <c r="AB348" i="1"/>
  <c r="AE482" i="1"/>
  <c r="AB466" i="1"/>
  <c r="AF365" i="1"/>
  <c r="AD351" i="1"/>
  <c r="AC363" i="1"/>
  <c r="AC158" i="1"/>
  <c r="AE206" i="1"/>
  <c r="AD37" i="1"/>
  <c r="AB86" i="1"/>
  <c r="AG64" i="1"/>
  <c r="AA361" i="1"/>
  <c r="AE175" i="1"/>
  <c r="AA152" i="1"/>
  <c r="AD432" i="1"/>
  <c r="AB391" i="1"/>
  <c r="AF138" i="1"/>
  <c r="AG273" i="1"/>
  <c r="AG365" i="1"/>
  <c r="AE80" i="1"/>
  <c r="AB411" i="1"/>
  <c r="AE230" i="1"/>
  <c r="AA226" i="1"/>
  <c r="AE82" i="1"/>
  <c r="AA329" i="1"/>
  <c r="AD126" i="1"/>
  <c r="AE284" i="1"/>
  <c r="AF222" i="1"/>
  <c r="AD216" i="1"/>
  <c r="AD182" i="1"/>
  <c r="AD90" i="1"/>
  <c r="AF248" i="1"/>
  <c r="AD301" i="1"/>
  <c r="AD414" i="1"/>
  <c r="AA393" i="1"/>
  <c r="AF390" i="1"/>
  <c r="AC144" i="1"/>
  <c r="AA389" i="1"/>
  <c r="AA320" i="1"/>
  <c r="AB155" i="1"/>
  <c r="AG80" i="1"/>
  <c r="AG54" i="1"/>
  <c r="AA105" i="1"/>
  <c r="AC188" i="1"/>
  <c r="AG32" i="1"/>
  <c r="AB270" i="1"/>
  <c r="AC118" i="1"/>
  <c r="AG310" i="1"/>
  <c r="AG160" i="1"/>
  <c r="AF347" i="1"/>
  <c r="AF234" i="1"/>
  <c r="AG361" i="1"/>
  <c r="AC415" i="1"/>
  <c r="AD417" i="1"/>
  <c r="AF229" i="1"/>
  <c r="AG78" i="1"/>
  <c r="AF146" i="1"/>
  <c r="AD130" i="1"/>
  <c r="AE74" i="1"/>
  <c r="AE63" i="1"/>
  <c r="AD441" i="1"/>
  <c r="AD249" i="1"/>
  <c r="AG258" i="1"/>
  <c r="AA340" i="1"/>
  <c r="AC459" i="1"/>
  <c r="AD312" i="1"/>
  <c r="AB347" i="1"/>
  <c r="AC194" i="1"/>
  <c r="AG449" i="1"/>
  <c r="AB134" i="1"/>
  <c r="AD117" i="1"/>
  <c r="AC220" i="1"/>
  <c r="AG224" i="1"/>
  <c r="AB379" i="1"/>
  <c r="AA365" i="1"/>
  <c r="AA399" i="1"/>
  <c r="AC94" i="1"/>
  <c r="AE300" i="1"/>
  <c r="AF412" i="1"/>
  <c r="AE396" i="1"/>
  <c r="AE235" i="1"/>
  <c r="AA243" i="1"/>
  <c r="AC51" i="1"/>
  <c r="AC445" i="1"/>
  <c r="AE321" i="1"/>
  <c r="AD369" i="1"/>
  <c r="AG466" i="1"/>
  <c r="AA457" i="1"/>
  <c r="AE86" i="1"/>
  <c r="AB83" i="1"/>
  <c r="AA37" i="1"/>
  <c r="AG330" i="1"/>
  <c r="AD305" i="1"/>
  <c r="AG227" i="1"/>
  <c r="AF157" i="1"/>
  <c r="AE88" i="1"/>
  <c r="AC471" i="1"/>
  <c r="AE69" i="1"/>
  <c r="AA292" i="1"/>
  <c r="AD384" i="1"/>
  <c r="AF63" i="1"/>
  <c r="AE197" i="1"/>
  <c r="AB105" i="1"/>
  <c r="AB401" i="1"/>
  <c r="AG353" i="1"/>
  <c r="AB103" i="1"/>
  <c r="AC291" i="1"/>
  <c r="AF66" i="1"/>
  <c r="AE358" i="1"/>
  <c r="AB275" i="1"/>
  <c r="AB198" i="1"/>
  <c r="AB472" i="1"/>
  <c r="AF207" i="1"/>
  <c r="AC176" i="1"/>
  <c r="AE173" i="1"/>
  <c r="AD154" i="1"/>
  <c r="AF283" i="1"/>
  <c r="AG108" i="1"/>
  <c r="AA242" i="1"/>
  <c r="AG397" i="1"/>
  <c r="AA480" i="1"/>
  <c r="AG58" i="1"/>
  <c r="AB235" i="1"/>
  <c r="AC292" i="1"/>
  <c r="AA199" i="1"/>
  <c r="AA40" i="1"/>
  <c r="AA84" i="1"/>
  <c r="AF378" i="1"/>
  <c r="AA140" i="1"/>
  <c r="AA299" i="1"/>
  <c r="AE37" i="1"/>
  <c r="AC305" i="1"/>
  <c r="AB79" i="1"/>
  <c r="AD459" i="1"/>
  <c r="AC166" i="1"/>
  <c r="AE292" i="1"/>
  <c r="AA29" i="1"/>
  <c r="AD30" i="1"/>
  <c r="AA212" i="1"/>
  <c r="AF130" i="1"/>
  <c r="AE475" i="1"/>
  <c r="AG251" i="1"/>
  <c r="AB419" i="1"/>
  <c r="AB77" i="1"/>
  <c r="AC287" i="1"/>
  <c r="AD319" i="1"/>
  <c r="AA293" i="1"/>
  <c r="AB277" i="1"/>
  <c r="AA170" i="1"/>
  <c r="AE32" i="1"/>
  <c r="AD416" i="1"/>
  <c r="AG327" i="1"/>
  <c r="AA90" i="1"/>
  <c r="AG60" i="1"/>
  <c r="AE51" i="1"/>
  <c r="AE110" i="1"/>
  <c r="AC367" i="1"/>
  <c r="AD278" i="1"/>
  <c r="AB369" i="1"/>
  <c r="AF187" i="1"/>
  <c r="AB372" i="1"/>
  <c r="AA414" i="1"/>
  <c r="AD439" i="1"/>
  <c r="AC104" i="1"/>
  <c r="AE239" i="1"/>
  <c r="AE168" i="1"/>
  <c r="AB184" i="1"/>
  <c r="AF278" i="1"/>
  <c r="AF99" i="1"/>
  <c r="AG405" i="1"/>
  <c r="AG53" i="1"/>
  <c r="AD140" i="1"/>
  <c r="AB317" i="1"/>
  <c r="AG42" i="1"/>
  <c r="AB392" i="1"/>
  <c r="AD246" i="1"/>
  <c r="AG261" i="1"/>
  <c r="AC202" i="1"/>
  <c r="AF270" i="1"/>
  <c r="AF328" i="1"/>
  <c r="AE295" i="1"/>
  <c r="AE420" i="1"/>
  <c r="AB449" i="1"/>
  <c r="AC401" i="1"/>
  <c r="AA343" i="1"/>
  <c r="AE152" i="1"/>
  <c r="AD338" i="1"/>
  <c r="AF166" i="1"/>
  <c r="AC224" i="1"/>
  <c r="AD361" i="1"/>
  <c r="AD397" i="1"/>
  <c r="AF58" i="1"/>
  <c r="AG189" i="1"/>
  <c r="AA114" i="1"/>
  <c r="AB230" i="1"/>
  <c r="AF144" i="1"/>
  <c r="AF126" i="1"/>
  <c r="AB435" i="1"/>
  <c r="AD131" i="1"/>
  <c r="AD202" i="1"/>
  <c r="AB120" i="1"/>
  <c r="AF135" i="1"/>
  <c r="AE395" i="1"/>
  <c r="AF449" i="1"/>
  <c r="AE353" i="1"/>
  <c r="AC414" i="1"/>
  <c r="AD339" i="1"/>
  <c r="AE243" i="1"/>
  <c r="AG453" i="1"/>
  <c r="AA339" i="1"/>
  <c r="AC41" i="1"/>
  <c r="AA278" i="1"/>
  <c r="AE70" i="1"/>
  <c r="AG185" i="1"/>
  <c r="AD306" i="1"/>
  <c r="AB445" i="1"/>
  <c r="AE196" i="1"/>
  <c r="AC303" i="1"/>
  <c r="AE205" i="1"/>
  <c r="AE273" i="1"/>
  <c r="AC254" i="1"/>
  <c r="AF424" i="1"/>
  <c r="AC120" i="1"/>
  <c r="AD251" i="1"/>
  <c r="AF242" i="1"/>
  <c r="AC215" i="1"/>
  <c r="AG146" i="1"/>
  <c r="AD139" i="1"/>
  <c r="AA31" i="1"/>
  <c r="AD52" i="1"/>
  <c r="AB298" i="1"/>
  <c r="AD181" i="1"/>
  <c r="AD230" i="1"/>
  <c r="AE306" i="1"/>
  <c r="AE182" i="1"/>
  <c r="AA43" i="1"/>
  <c r="AG100" i="1"/>
  <c r="AG482" i="1"/>
  <c r="AB107" i="1"/>
  <c r="AC449" i="1"/>
  <c r="AE246" i="1"/>
  <c r="AG369" i="1"/>
  <c r="AA139" i="1"/>
  <c r="AA298" i="1"/>
  <c r="AF297" i="1"/>
  <c r="AB204" i="1"/>
  <c r="AE380" i="1"/>
  <c r="AC38" i="1"/>
  <c r="AC67" i="1"/>
  <c r="AF215" i="1"/>
  <c r="AB450" i="1"/>
  <c r="AG217" i="1"/>
  <c r="AG476" i="1"/>
  <c r="AF151" i="1"/>
  <c r="AF255" i="1"/>
  <c r="AD468" i="1"/>
  <c r="AE468" i="1"/>
  <c r="AC417" i="1"/>
  <c r="AA392" i="1"/>
  <c r="AA71" i="1"/>
  <c r="AD285" i="1"/>
  <c r="AE457" i="1"/>
  <c r="AG303" i="1"/>
  <c r="AA446" i="1"/>
  <c r="AF354" i="1"/>
  <c r="AC40" i="1"/>
  <c r="AE356" i="1"/>
  <c r="AB47" i="1"/>
  <c r="AC39" i="1"/>
  <c r="AD222" i="1"/>
  <c r="AF358" i="1"/>
  <c r="AF33" i="1"/>
  <c r="AA168" i="1"/>
  <c r="AA145" i="1"/>
  <c r="AA205" i="1"/>
  <c r="AA249" i="1"/>
  <c r="AG163" i="1"/>
  <c r="AF224" i="1"/>
  <c r="AB166" i="1"/>
  <c r="AE33" i="1"/>
  <c r="AA426" i="1"/>
  <c r="AD164" i="1"/>
  <c r="AE291" i="1"/>
  <c r="AD239" i="1"/>
  <c r="AB328" i="1"/>
  <c r="AF290" i="1"/>
  <c r="AD388" i="1"/>
  <c r="AE303" i="1"/>
  <c r="AD434" i="1"/>
  <c r="AG187" i="1"/>
  <c r="AB262" i="1"/>
  <c r="AE427" i="1"/>
  <c r="AC272" i="1"/>
  <c r="AE133" i="1"/>
  <c r="AG267" i="1"/>
  <c r="AC58" i="1"/>
  <c r="AG328" i="1"/>
  <c r="AD184" i="1"/>
  <c r="AC335" i="1"/>
  <c r="AD243" i="1"/>
  <c r="AB361" i="1"/>
  <c r="AF129" i="1"/>
  <c r="AD346" i="1"/>
  <c r="AD156" i="1"/>
  <c r="AF77" i="1"/>
  <c r="AF373" i="1"/>
  <c r="AE107" i="1"/>
  <c r="AE104" i="1"/>
  <c r="AF205" i="1"/>
  <c r="AE314" i="1"/>
  <c r="AA267" i="1"/>
  <c r="AA461" i="1"/>
  <c r="AF305" i="1"/>
  <c r="AA137" i="1"/>
  <c r="AE377" i="1"/>
  <c r="AD286" i="1"/>
  <c r="AD175" i="1"/>
  <c r="AB289" i="1"/>
  <c r="AF360" i="1"/>
  <c r="AA451" i="1"/>
  <c r="AE305" i="1"/>
  <c r="AC145" i="1"/>
  <c r="AA275" i="1"/>
  <c r="AD428" i="1"/>
  <c r="AC341" i="1"/>
  <c r="AC156" i="1"/>
  <c r="AE188" i="1"/>
  <c r="AB311" i="1"/>
  <c r="AE193" i="1"/>
  <c r="AF46" i="1"/>
  <c r="AG302" i="1"/>
  <c r="AD135" i="1"/>
  <c r="AC353" i="1"/>
  <c r="AA108" i="1"/>
  <c r="AF60" i="1"/>
  <c r="AG433" i="1"/>
  <c r="AG388" i="1"/>
  <c r="AD68" i="1"/>
  <c r="AD55" i="1"/>
  <c r="AF374" i="1"/>
  <c r="AG285" i="1"/>
  <c r="AD233" i="1"/>
  <c r="AB346" i="1"/>
  <c r="AA266" i="1"/>
  <c r="AG176" i="1"/>
  <c r="AE218" i="1"/>
  <c r="AF357" i="1"/>
  <c r="AE438" i="1"/>
  <c r="AE247" i="1"/>
  <c r="AC452" i="1"/>
  <c r="AE92" i="1"/>
  <c r="AE153" i="1"/>
  <c r="AA435" i="1"/>
  <c r="AC311" i="1"/>
  <c r="AG154" i="1"/>
  <c r="AG82" i="1"/>
  <c r="AE89" i="1"/>
  <c r="AG286" i="1"/>
  <c r="AF385" i="1"/>
  <c r="AF226" i="1"/>
  <c r="AC57" i="1"/>
  <c r="AG250" i="1"/>
  <c r="AB310" i="1"/>
  <c r="AG231" i="1"/>
  <c r="AD189" i="1"/>
  <c r="AB451" i="1"/>
  <c r="AD194" i="1"/>
  <c r="AB156" i="1"/>
  <c r="AF324" i="1"/>
  <c r="AA190" i="1"/>
  <c r="AD257" i="1"/>
  <c r="AD389" i="1"/>
  <c r="AF36" i="1"/>
  <c r="AA459" i="1"/>
  <c r="AF257" i="1"/>
  <c r="AD320" i="1"/>
  <c r="AE398" i="1"/>
  <c r="AC385" i="1"/>
  <c r="AC336" i="1"/>
  <c r="AC152" i="1"/>
  <c r="AF134" i="1"/>
  <c r="AC379" i="1"/>
  <c r="AA229" i="1"/>
  <c r="AB353" i="1"/>
  <c r="AB306" i="1"/>
  <c r="AA225" i="1"/>
  <c r="AA408" i="1"/>
  <c r="AG460" i="1"/>
  <c r="AD413" i="1"/>
  <c r="AC102" i="1"/>
  <c r="AA44" i="1"/>
  <c r="AA65" i="1"/>
  <c r="AC294" i="1"/>
  <c r="AC47" i="1"/>
  <c r="AF217" i="1"/>
  <c r="AB439" i="1"/>
  <c r="AE467" i="1"/>
  <c r="AF410" i="1"/>
  <c r="AD395" i="1"/>
  <c r="AC183" i="1"/>
  <c r="AC97" i="1"/>
  <c r="AB324" i="1"/>
  <c r="AC447" i="1"/>
  <c r="AC372" i="1"/>
  <c r="AF45" i="1"/>
  <c r="AG326" i="1"/>
  <c r="AA92" i="1"/>
  <c r="AF225" i="1"/>
  <c r="AB85" i="1"/>
  <c r="AE231" i="1"/>
  <c r="AA150" i="1"/>
  <c r="AG296" i="1"/>
  <c r="AD445" i="1"/>
  <c r="AC61" i="1"/>
  <c r="AG253" i="1"/>
  <c r="AG417" i="1"/>
  <c r="AG393" i="1"/>
  <c r="AB459" i="1"/>
  <c r="AC33" i="1"/>
  <c r="AE446" i="1"/>
  <c r="AB139" i="1"/>
  <c r="AC263" i="1"/>
  <c r="AG116" i="1"/>
  <c r="AA429" i="1"/>
  <c r="AF427" i="1"/>
  <c r="AD192" i="1"/>
  <c r="AB267" i="1"/>
  <c r="AB222" i="1"/>
  <c r="AB333" i="1"/>
  <c r="AC329" i="1"/>
  <c r="AF74" i="1"/>
  <c r="AB256" i="1"/>
  <c r="AD200" i="1"/>
  <c r="AB38" i="1"/>
  <c r="AA49" i="1"/>
  <c r="AA201" i="1"/>
  <c r="AE456" i="1"/>
  <c r="AA56" i="1"/>
  <c r="AA481" i="1"/>
  <c r="AB345" i="1"/>
  <c r="AC172" i="1"/>
  <c r="AA342" i="1"/>
  <c r="AF155" i="1"/>
  <c r="AD203" i="1"/>
  <c r="AB112" i="1"/>
  <c r="AG136" i="1"/>
  <c r="AA160" i="1"/>
  <c r="AF381" i="1"/>
  <c r="AG316" i="1"/>
  <c r="AC50" i="1"/>
  <c r="AA234" i="1"/>
  <c r="AE279" i="1"/>
  <c r="AA367" i="1"/>
  <c r="AA87" i="1"/>
  <c r="AE334" i="1"/>
  <c r="AC134" i="1"/>
  <c r="AA460" i="1"/>
  <c r="AE101" i="1"/>
  <c r="AC395" i="1"/>
  <c r="AC48" i="1"/>
  <c r="AF339" i="1"/>
  <c r="AC206" i="1"/>
  <c r="AF368" i="1"/>
  <c r="AB476" i="1"/>
  <c r="AD461" i="1"/>
  <c r="AB281" i="1"/>
  <c r="AC480" i="1"/>
  <c r="AA48" i="1"/>
  <c r="AE370" i="1"/>
  <c r="AE99" i="1"/>
  <c r="AD161" i="1"/>
  <c r="AG246" i="1"/>
  <c r="AG346" i="1"/>
  <c r="AD321" i="1"/>
  <c r="AE297" i="1"/>
  <c r="AF101" i="1"/>
  <c r="AF436" i="1"/>
  <c r="AE164" i="1"/>
  <c r="AE223" i="1"/>
  <c r="AE313" i="1"/>
  <c r="AF71" i="1"/>
  <c r="AC82" i="1"/>
  <c r="AG411" i="1"/>
  <c r="AE460" i="1"/>
  <c r="AF159" i="1"/>
  <c r="AA401" i="1"/>
  <c r="AG112" i="1"/>
  <c r="AC286" i="1"/>
  <c r="AF302" i="1"/>
  <c r="AD225" i="1"/>
  <c r="AF30" i="1"/>
  <c r="AF311" i="1"/>
  <c r="AF371" i="1"/>
  <c r="AC260" i="1"/>
  <c r="AA398" i="1"/>
  <c r="AD438" i="1"/>
  <c r="AC468" i="1"/>
  <c r="AE271" i="1"/>
  <c r="AG168" i="1"/>
  <c r="AE228" i="1"/>
  <c r="AB325" i="1"/>
  <c r="AC455" i="1"/>
  <c r="AG314" i="1"/>
  <c r="AG268" i="1"/>
  <c r="AE405" i="1"/>
  <c r="AG324" i="1"/>
  <c r="AD342" i="1"/>
  <c r="AB258" i="1"/>
  <c r="AF401" i="1"/>
  <c r="AC424" i="1"/>
  <c r="AD160" i="1"/>
  <c r="AF467" i="1"/>
  <c r="AA402" i="1"/>
  <c r="AE362" i="1"/>
  <c r="AA86" i="1"/>
  <c r="AB280" i="1"/>
  <c r="AE379" i="1"/>
  <c r="AE309" i="1"/>
  <c r="AF90" i="1"/>
  <c r="AB31" i="1"/>
  <c r="AF237" i="1"/>
  <c r="AG143" i="1"/>
  <c r="AG280" i="1"/>
  <c r="AC60" i="1"/>
  <c r="AD443" i="1"/>
  <c r="AB164" i="1"/>
  <c r="AG144" i="1"/>
  <c r="AD46" i="1"/>
  <c r="AE411" i="1"/>
  <c r="AD347" i="1"/>
  <c r="AF213" i="1"/>
  <c r="AB87" i="1"/>
  <c r="AA124" i="1"/>
  <c r="AD72" i="1"/>
  <c r="AF370" i="1"/>
  <c r="AE207" i="1"/>
  <c r="AF345" i="1"/>
  <c r="AD371" i="1"/>
  <c r="AE392" i="1"/>
  <c r="AG232" i="1"/>
  <c r="AE357" i="1"/>
  <c r="AF86" i="1"/>
  <c r="AF282" i="1"/>
  <c r="AC384" i="1"/>
  <c r="AF348" i="1"/>
  <c r="AF54" i="1"/>
  <c r="AA214" i="1"/>
  <c r="AC163" i="1"/>
  <c r="AG204" i="1"/>
  <c r="AE481" i="1"/>
  <c r="AF391" i="1"/>
  <c r="AC123" i="1"/>
  <c r="AC184" i="1"/>
  <c r="AB336" i="1"/>
  <c r="AG46" i="1"/>
  <c r="AG55" i="1"/>
  <c r="AD421" i="1"/>
  <c r="AB368" i="1"/>
  <c r="AD248" i="1"/>
  <c r="AD99" i="1"/>
  <c r="AD398" i="1"/>
  <c r="AD477" i="1"/>
  <c r="AB146" i="1"/>
  <c r="AD73" i="1"/>
  <c r="AD435" i="1"/>
  <c r="AD272" i="1"/>
  <c r="AD129" i="1"/>
  <c r="AC193" i="1"/>
  <c r="AF405" i="1"/>
  <c r="AF111" i="1"/>
  <c r="AE415" i="1"/>
  <c r="AC359" i="1"/>
  <c r="AF431" i="1"/>
  <c r="AD328" i="1"/>
  <c r="AE429" i="1"/>
  <c r="AB39" i="1"/>
  <c r="AA289" i="1"/>
  <c r="AG357" i="1"/>
  <c r="AG401" i="1"/>
  <c r="AE250" i="1"/>
  <c r="AD464" i="1"/>
  <c r="AE241" i="1"/>
  <c r="AB172" i="1"/>
  <c r="AB475" i="1"/>
  <c r="AD247" i="1"/>
  <c r="AG56" i="1"/>
  <c r="AD460" i="1"/>
  <c r="AC204" i="1"/>
  <c r="AB51" i="1"/>
  <c r="AA81" i="1"/>
  <c r="AC265" i="1"/>
  <c r="AE225" i="1"/>
  <c r="AB343" i="1"/>
  <c r="AD314" i="1"/>
  <c r="AD475" i="1"/>
  <c r="AE322" i="1"/>
  <c r="AG352" i="1"/>
  <c r="AE261" i="1"/>
  <c r="AE93" i="1"/>
  <c r="AF219" i="1"/>
  <c r="AF259" i="1"/>
  <c r="AE469" i="1"/>
  <c r="AA478" i="1"/>
  <c r="AG72" i="1"/>
  <c r="AB342" i="1"/>
  <c r="AE172" i="1"/>
  <c r="AE436" i="1"/>
  <c r="AB216" i="1"/>
  <c r="AB319" i="1"/>
  <c r="AA171" i="1"/>
  <c r="AD87" i="1"/>
  <c r="AA265" i="1"/>
  <c r="AB229" i="1"/>
  <c r="AE71" i="1"/>
  <c r="AG441" i="1"/>
  <c r="AA390" i="1"/>
  <c r="AC429" i="1"/>
  <c r="AA175" i="1"/>
  <c r="AC214" i="1"/>
  <c r="AC140" i="1"/>
  <c r="AC436" i="1"/>
  <c r="AB437" i="1"/>
  <c r="AD185" i="1"/>
  <c r="AC463" i="1"/>
  <c r="AD323" i="1"/>
  <c r="AG329" i="1"/>
  <c r="AC229" i="1"/>
  <c r="AE394" i="1"/>
  <c r="AD411" i="1"/>
  <c r="AA39" i="1"/>
  <c r="AG48" i="1"/>
  <c r="AD377" i="1"/>
  <c r="AG266" i="1"/>
  <c r="AG367" i="1"/>
  <c r="AE265" i="1"/>
  <c r="AC365" i="1"/>
  <c r="AG315" i="1"/>
  <c r="AD171" i="1"/>
  <c r="AC371" i="1"/>
  <c r="AF110" i="1"/>
  <c r="AD196" i="1"/>
  <c r="AA448" i="1"/>
  <c r="AE275" i="1"/>
  <c r="AC267" i="1"/>
  <c r="AF201" i="1"/>
  <c r="AG260" i="1"/>
  <c r="AC46" i="1"/>
  <c r="AG94" i="1"/>
  <c r="AF243" i="1"/>
  <c r="AG290" i="1"/>
  <c r="AB428" i="1"/>
  <c r="AF351" i="1"/>
  <c r="AA286" i="1"/>
  <c r="AG90" i="1"/>
  <c r="AE248" i="1"/>
  <c r="AC87" i="1"/>
  <c r="AB409" i="1"/>
  <c r="AC154" i="1"/>
  <c r="AF115" i="1"/>
  <c r="AG470" i="1"/>
  <c r="AG120" i="1"/>
  <c r="AA60" i="1"/>
  <c r="AF32" i="1"/>
  <c r="AD103" i="1"/>
  <c r="AD282" i="1"/>
  <c r="AA369" i="1"/>
  <c r="AF355" i="1"/>
  <c r="AA176" i="1"/>
  <c r="AE60" i="1"/>
  <c r="AF206" i="1"/>
  <c r="AA79" i="1"/>
  <c r="AD213" i="1"/>
  <c r="AF293" i="1"/>
  <c r="AB473" i="1"/>
  <c r="AB114" i="1"/>
  <c r="AD113" i="1"/>
  <c r="AB393" i="1"/>
  <c r="AF65" i="1"/>
  <c r="AC399" i="1"/>
  <c r="AF321" i="1"/>
  <c r="AB479" i="1"/>
  <c r="AG341" i="1"/>
  <c r="AE431" i="1"/>
  <c r="AC271" i="1"/>
  <c r="AE444" i="1"/>
  <c r="AC347" i="1"/>
  <c r="AC256" i="1"/>
  <c r="AA107" i="1"/>
  <c r="AF276" i="1"/>
  <c r="AA151" i="1"/>
  <c r="AD400" i="1"/>
  <c r="AG142" i="1"/>
  <c r="AC44" i="1"/>
  <c r="AC348" i="1"/>
  <c r="AC116" i="1"/>
  <c r="AD245" i="1"/>
  <c r="AC361" i="1"/>
  <c r="AE75" i="1"/>
  <c r="AG368" i="1"/>
  <c r="AC71" i="1"/>
  <c r="AD155" i="1"/>
  <c r="AF43" i="1"/>
  <c r="AA125" i="1"/>
  <c r="AC52" i="1"/>
  <c r="AC438" i="1"/>
  <c r="AC420" i="1"/>
  <c r="AA101" i="1"/>
  <c r="AA74" i="1"/>
  <c r="AG383" i="1"/>
  <c r="AF55" i="1"/>
  <c r="AF402" i="1"/>
  <c r="AG175" i="1"/>
  <c r="AF445" i="1"/>
  <c r="AE47" i="1"/>
  <c r="AC90" i="1"/>
  <c r="AG294" i="1"/>
  <c r="AB136" i="1"/>
  <c r="AG410" i="1"/>
  <c r="AG236" i="1"/>
  <c r="AD75" i="1"/>
  <c r="AA311" i="1"/>
  <c r="AC362" i="1"/>
  <c r="AE237" i="1"/>
  <c r="AC223" i="1"/>
  <c r="AD364" i="1"/>
  <c r="AG244" i="1"/>
  <c r="AG79" i="1"/>
  <c r="AD422" i="1"/>
  <c r="AD206" i="1"/>
  <c r="AB75" i="1"/>
  <c r="AD70" i="1"/>
  <c r="AA262" i="1"/>
  <c r="AD153" i="1"/>
  <c r="AC397" i="1"/>
  <c r="AC85" i="1"/>
  <c r="AB349" i="1"/>
  <c r="AF429" i="1"/>
  <c r="AB312" i="1"/>
  <c r="AC126" i="1"/>
  <c r="AE58" i="1"/>
  <c r="AD381" i="1"/>
  <c r="AB244" i="1"/>
  <c r="AE125" i="1"/>
  <c r="AA273" i="1"/>
  <c r="AA276" i="1"/>
  <c r="AE417" i="1"/>
  <c r="AE30" i="1"/>
  <c r="AE359" i="1"/>
  <c r="AB138" i="1"/>
  <c r="AE338" i="1"/>
  <c r="AG306" i="1"/>
  <c r="AF136" i="1"/>
  <c r="AB291" i="1"/>
  <c r="AD337" i="1"/>
  <c r="AD53" i="1"/>
  <c r="AB240" i="1"/>
  <c r="AE276" i="1"/>
  <c r="AD408" i="1"/>
  <c r="AA70" i="1"/>
  <c r="AE401" i="1"/>
  <c r="AB168" i="1"/>
  <c r="AD143" i="1"/>
  <c r="AB88" i="1"/>
  <c r="AG91" i="1"/>
  <c r="AE383" i="1"/>
  <c r="AB91" i="1"/>
  <c r="AF68" i="1"/>
  <c r="AA279" i="1"/>
  <c r="AF107" i="1"/>
  <c r="AE345" i="1"/>
  <c r="AE140" i="1"/>
  <c r="AA47" i="1"/>
  <c r="AG309" i="1"/>
  <c r="AD297" i="1"/>
  <c r="AF37" i="1"/>
  <c r="AA30" i="1"/>
  <c r="AG131" i="1"/>
  <c r="AC308" i="1"/>
  <c r="AF83" i="1"/>
  <c r="AE361" i="1"/>
  <c r="AF172" i="1"/>
  <c r="AE113" i="1"/>
  <c r="AC168" i="1"/>
  <c r="AF262" i="1"/>
  <c r="AF375" i="1"/>
  <c r="AD481" i="1"/>
  <c r="AC328" i="1"/>
  <c r="AE166" i="1"/>
  <c r="AD476" i="1"/>
  <c r="AA219" i="1"/>
  <c r="AB335" i="1"/>
  <c r="AD44" i="1"/>
  <c r="AG427" i="1"/>
  <c r="AF366" i="1"/>
  <c r="AC446" i="1"/>
  <c r="AG359" i="1"/>
  <c r="AD458" i="1"/>
  <c r="AE448" i="1"/>
  <c r="AE155" i="1"/>
  <c r="AA449" i="1"/>
  <c r="AG49" i="1"/>
  <c r="AE201" i="1"/>
  <c r="AE270" i="1"/>
  <c r="AE171" i="1"/>
  <c r="AE355" i="1"/>
  <c r="AE267" i="1"/>
  <c r="AC407" i="1"/>
  <c r="AC421" i="1"/>
  <c r="AB257" i="1"/>
  <c r="AE114" i="1"/>
  <c r="AG347" i="1"/>
  <c r="AD274" i="1"/>
  <c r="AA259" i="1"/>
  <c r="AB223" i="1"/>
  <c r="AC443" i="1"/>
  <c r="AE318" i="1"/>
  <c r="AA238" i="1"/>
  <c r="AC200" i="1"/>
  <c r="AG379" i="1"/>
  <c r="AE346" i="1"/>
  <c r="AE365" i="1"/>
  <c r="AD295" i="1"/>
  <c r="AD86" i="1"/>
  <c r="AG384" i="1"/>
  <c r="AA347" i="1"/>
  <c r="AF399" i="1"/>
  <c r="AE259" i="1"/>
  <c r="AB135" i="1"/>
  <c r="AB74" i="1"/>
  <c r="AE208" i="1"/>
  <c r="AC233" i="1"/>
  <c r="AA261" i="1"/>
  <c r="AG209" i="1"/>
  <c r="AB132" i="1"/>
  <c r="AG52" i="1"/>
  <c r="AD415" i="1"/>
  <c r="AB443" i="1"/>
  <c r="AB255" i="1"/>
  <c r="AG216" i="1"/>
  <c r="AC323" i="1"/>
  <c r="AD259" i="1"/>
  <c r="AG475" i="1"/>
  <c r="AA196" i="1"/>
  <c r="AF148" i="1"/>
  <c r="AG392" i="1"/>
  <c r="AA51" i="1"/>
  <c r="AF279" i="1"/>
  <c r="AB40" i="1"/>
  <c r="AC191" i="1"/>
  <c r="AE327" i="1"/>
  <c r="AD470" i="1"/>
  <c r="AA380" i="1"/>
  <c r="AG33" i="1"/>
  <c r="AC143" i="1"/>
  <c r="AD124" i="1"/>
  <c r="AA215" i="1"/>
  <c r="AB110" i="1"/>
  <c r="AF253" i="1"/>
  <c r="AC190" i="1"/>
  <c r="AD383" i="1"/>
  <c r="AA314" i="1"/>
  <c r="AE335" i="1"/>
  <c r="AE288" i="1"/>
  <c r="AF287" i="1"/>
  <c r="AF106" i="1"/>
  <c r="AE399" i="1"/>
  <c r="AE296" i="1"/>
  <c r="AB231" i="1"/>
  <c r="AG45" i="1"/>
  <c r="AC264" i="1"/>
  <c r="AA383" i="1"/>
  <c r="AE385" i="1"/>
  <c r="AE323" i="1"/>
  <c r="AD198" i="1"/>
  <c r="AD472" i="1"/>
  <c r="AE117" i="1"/>
  <c r="AA138" i="1"/>
  <c r="AB416" i="1"/>
  <c r="AA294" i="1"/>
  <c r="AB338" i="1"/>
  <c r="AC288" i="1"/>
  <c r="AF458" i="1"/>
  <c r="AC474" i="1"/>
  <c r="AD405" i="1"/>
  <c r="AD183" i="1"/>
  <c r="AF171" i="1"/>
  <c r="AB365" i="1"/>
  <c r="AB253" i="1"/>
  <c r="AD303" i="1"/>
  <c r="AC391" i="1"/>
  <c r="AF474" i="1"/>
  <c r="AC290" i="1"/>
  <c r="AF310" i="1"/>
  <c r="AE350" i="1"/>
  <c r="AA352" i="1"/>
  <c r="AG425" i="1"/>
  <c r="AA131" i="1"/>
  <c r="AF396" i="1"/>
  <c r="AD217" i="1"/>
  <c r="AA444" i="1"/>
  <c r="AB218" i="1"/>
  <c r="AE45" i="1"/>
  <c r="AC453" i="1"/>
  <c r="AG415" i="1"/>
  <c r="AB460" i="1"/>
  <c r="AG300" i="1"/>
  <c r="AE260" i="1"/>
  <c r="AD474" i="1"/>
  <c r="AE221" i="1"/>
  <c r="AC56" i="1"/>
  <c r="AA316" i="1"/>
  <c r="AC178" i="1"/>
  <c r="AE187" i="1"/>
  <c r="AA236" i="1"/>
  <c r="AC405" i="1"/>
  <c r="AA163" i="1"/>
  <c r="AA436" i="1"/>
  <c r="AD145" i="1"/>
  <c r="AA466" i="1"/>
  <c r="AF35" i="1"/>
  <c r="AG287" i="1"/>
  <c r="AC456" i="1"/>
  <c r="AF218" i="1"/>
  <c r="AE39" i="1"/>
  <c r="AF139" i="1"/>
  <c r="AC68" i="1"/>
  <c r="AD81" i="1"/>
  <c r="AC36" i="1"/>
  <c r="AF123" i="1"/>
  <c r="AA149" i="1"/>
  <c r="AC316" i="1"/>
  <c r="AD471" i="1"/>
  <c r="AE264" i="1"/>
  <c r="AD238" i="1"/>
  <c r="AG363" i="1"/>
  <c r="AF336" i="1"/>
  <c r="AG157" i="1"/>
  <c r="AA305" i="1"/>
  <c r="AA247" i="1"/>
  <c r="AC124" i="1"/>
  <c r="AB32" i="1"/>
  <c r="AF389" i="1"/>
  <c r="AC319" i="1"/>
  <c r="AF303" i="1"/>
  <c r="AE426" i="1"/>
  <c r="AC175" i="1"/>
  <c r="AG259" i="1"/>
  <c r="AD280" i="1"/>
  <c r="AA453" i="1"/>
  <c r="AA434" i="1"/>
  <c r="AA165" i="1"/>
  <c r="AC59" i="1"/>
  <c r="AD267" i="1"/>
  <c r="AF439" i="1"/>
  <c r="AD244" i="1"/>
  <c r="AF112" i="1"/>
  <c r="AB434" i="1"/>
  <c r="AA385" i="1"/>
  <c r="AD158" i="1"/>
  <c r="AB381" i="1"/>
  <c r="AB359" i="1"/>
  <c r="AB471" i="1"/>
  <c r="AA64" i="1"/>
  <c r="AF50" i="1"/>
  <c r="AG208" i="1"/>
  <c r="AA132" i="1"/>
  <c r="AC192" i="1"/>
  <c r="AA274" i="1"/>
  <c r="AE35" i="1"/>
  <c r="AD173" i="1"/>
  <c r="AB66" i="1"/>
  <c r="AC70" i="1"/>
  <c r="AG172" i="1"/>
  <c r="AF51" i="1"/>
  <c r="AF284" i="1"/>
  <c r="AG44" i="1"/>
  <c r="AE135" i="1"/>
  <c r="AG477" i="1"/>
  <c r="AG184" i="1"/>
  <c r="AF289" i="1"/>
  <c r="AF183" i="1"/>
  <c r="AA356" i="1"/>
  <c r="AF193" i="1"/>
  <c r="AB399" i="1"/>
  <c r="AC101" i="1"/>
  <c r="AG124" i="1"/>
  <c r="AA182" i="1"/>
  <c r="AG84" i="1"/>
  <c r="AA96" i="1"/>
  <c r="AD39" i="1"/>
  <c r="AC427" i="1"/>
  <c r="AD302" i="1"/>
  <c r="AA268" i="1"/>
  <c r="AB201" i="1"/>
  <c r="AC327" i="1"/>
  <c r="AG356" i="1"/>
  <c r="AG249" i="1"/>
  <c r="AD104" i="1"/>
  <c r="AA373" i="1"/>
  <c r="AA355" i="1"/>
  <c r="AG104" i="1"/>
  <c r="AD197" i="1"/>
  <c r="AB89" i="1"/>
  <c r="AG96" i="1"/>
  <c r="AB211" i="1"/>
  <c r="AG95" i="1"/>
  <c r="AA321" i="1"/>
  <c r="AC247" i="1"/>
  <c r="AD403" i="1"/>
  <c r="AD376" i="1"/>
  <c r="AA184" i="1"/>
  <c r="AG403" i="1"/>
  <c r="AG434" i="1"/>
  <c r="AC381" i="1"/>
  <c r="AF342" i="1"/>
  <c r="AB169" i="1"/>
  <c r="AA38" i="1"/>
  <c r="AD193" i="1"/>
  <c r="AG222" i="1"/>
  <c r="AB228" i="1"/>
  <c r="AD59" i="1"/>
  <c r="AA405" i="1"/>
  <c r="AD309" i="1"/>
  <c r="AG298" i="1"/>
  <c r="AC84" i="1"/>
  <c r="AA122" i="1"/>
  <c r="AB200" i="1"/>
  <c r="AD142" i="1"/>
  <c r="AC128" i="1"/>
  <c r="AB245" i="1"/>
  <c r="AD146" i="1"/>
  <c r="AD437" i="1"/>
  <c r="AG57" i="1"/>
  <c r="AA254" i="1"/>
  <c r="AB448" i="1"/>
  <c r="AB192" i="1"/>
  <c r="AB212" i="1"/>
  <c r="AA123" i="1"/>
  <c r="AE176" i="1"/>
  <c r="AD431" i="1"/>
  <c r="AC377" i="1"/>
  <c r="AA256" i="1"/>
  <c r="AB301" i="1"/>
  <c r="AF309" i="1"/>
  <c r="AE451" i="1"/>
  <c r="AD96" i="1"/>
  <c r="AF156" i="1"/>
  <c r="AA147" i="1"/>
  <c r="AB286" i="1"/>
  <c r="AD345" i="1"/>
  <c r="AA213" i="1"/>
  <c r="AC240" i="1"/>
  <c r="AB474" i="1"/>
  <c r="AB101" i="1"/>
  <c r="AD350" i="1"/>
  <c r="AG237" i="1"/>
  <c r="AC262" i="1"/>
  <c r="AE222" i="1"/>
  <c r="AF419" i="1"/>
  <c r="AF382" i="1"/>
  <c r="AD199" i="1"/>
  <c r="AD362" i="1"/>
  <c r="AA440" i="1"/>
  <c r="AG474" i="1"/>
  <c r="AE474" i="1"/>
  <c r="AB303" i="1"/>
  <c r="AB377" i="1"/>
  <c r="AD65" i="1"/>
  <c r="AF227" i="1"/>
  <c r="AB272" i="1"/>
  <c r="AB104" i="1"/>
  <c r="AB403" i="1"/>
  <c r="AF459" i="1"/>
  <c r="AD235" i="1"/>
  <c r="AD150" i="1"/>
  <c r="AD250" i="1"/>
  <c r="AD444" i="1"/>
  <c r="AB33" i="1"/>
  <c r="AB149" i="1"/>
  <c r="AB127" i="1"/>
  <c r="AA322" i="1"/>
  <c r="AC352" i="1"/>
  <c r="AE255" i="1"/>
  <c r="AB278" i="1"/>
  <c r="AG413" i="1"/>
  <c r="AA159" i="1"/>
  <c r="AC321" i="1"/>
  <c r="AG265" i="1"/>
  <c r="AE435" i="1"/>
  <c r="AF443" i="1"/>
  <c r="AE156" i="1"/>
  <c r="AA197" i="1"/>
  <c r="AE450" i="1"/>
  <c r="AA102" i="1"/>
  <c r="AA344" i="1"/>
  <c r="AA63" i="1"/>
  <c r="AE419" i="1"/>
  <c r="AF322" i="1"/>
  <c r="AC302" i="1"/>
  <c r="AE257" i="1"/>
  <c r="AA303" i="1"/>
  <c r="AE105" i="1"/>
  <c r="AA388" i="1"/>
  <c r="AB225" i="1"/>
  <c r="AA109" i="1"/>
  <c r="AF343" i="1"/>
  <c r="AD310" i="1"/>
  <c r="AB260" i="1"/>
  <c r="AF263" i="1"/>
  <c r="AE68" i="1"/>
  <c r="AB48" i="1"/>
  <c r="AD281" i="1"/>
  <c r="AB276" i="1"/>
  <c r="AA41" i="1"/>
  <c r="AB152" i="1"/>
  <c r="AA418" i="1"/>
  <c r="AG226" i="1"/>
  <c r="AF312" i="1"/>
  <c r="AC250" i="1"/>
  <c r="AD355" i="1"/>
  <c r="AC93" i="1"/>
  <c r="AB315" i="1"/>
  <c r="AC127" i="1"/>
  <c r="AE226" i="1"/>
  <c r="AG203" i="1"/>
  <c r="AF456" i="1"/>
  <c r="AG364" i="1"/>
  <c r="AE244" i="1"/>
  <c r="AA263" i="1"/>
  <c r="AF236" i="1"/>
  <c r="AE310" i="1"/>
  <c r="AA425" i="1"/>
  <c r="AB261" i="1"/>
  <c r="AB314" i="1"/>
  <c r="AA291" i="1"/>
  <c r="AE165" i="1"/>
  <c r="AB366" i="1"/>
  <c r="AA88" i="1"/>
  <c r="AB241" i="1"/>
  <c r="AA54" i="1"/>
  <c r="AA427" i="1"/>
  <c r="AC150" i="1"/>
  <c r="AD119" i="1"/>
  <c r="AD277" i="1"/>
  <c r="AG459" i="1"/>
  <c r="AC205" i="1"/>
  <c r="AF49" i="1"/>
  <c r="AF452" i="1"/>
  <c r="AA250" i="1"/>
  <c r="AD177" i="1"/>
  <c r="AC218" i="1"/>
  <c r="AA452" i="1"/>
  <c r="AF464" i="1"/>
  <c r="AB250" i="1"/>
  <c r="AD429" i="1"/>
  <c r="AE298" i="1"/>
  <c r="AF196" i="1"/>
  <c r="AF422" i="1"/>
  <c r="AB227" i="1"/>
  <c r="AF325" i="1"/>
  <c r="AB115" i="1"/>
  <c r="AD260" i="1"/>
  <c r="AG150" i="1"/>
  <c r="AE81" i="1"/>
  <c r="AE132" i="1"/>
  <c r="AG41" i="1"/>
  <c r="AG149" i="1"/>
  <c r="AD93" i="1"/>
  <c r="AF268" i="1"/>
  <c r="AG67" i="1"/>
  <c r="AA297" i="1"/>
  <c r="AG468" i="1"/>
  <c r="AG436" i="1"/>
  <c r="AG182" i="1"/>
  <c r="AB58" i="1"/>
  <c r="AE186" i="1"/>
  <c r="AF235" i="1"/>
  <c r="AB254" i="1"/>
  <c r="AB209" i="1"/>
  <c r="AD478" i="1"/>
  <c r="AD406" i="1"/>
  <c r="AE299" i="1"/>
  <c r="AB370" i="1"/>
  <c r="AG74" i="1"/>
  <c r="AF379" i="1"/>
  <c r="AF100" i="1"/>
  <c r="AF252" i="1"/>
  <c r="AA441" i="1"/>
  <c r="AB154" i="1"/>
  <c r="AE462" i="1"/>
  <c r="AA439" i="1"/>
  <c r="AF315" i="1"/>
  <c r="AC99" i="1"/>
  <c r="AA32" i="1"/>
  <c r="AE181" i="1"/>
  <c r="AF320" i="1"/>
  <c r="AC63" i="1"/>
  <c r="AG390" i="1"/>
  <c r="AF175" i="1"/>
  <c r="AA285" i="1"/>
  <c r="AG437" i="1"/>
  <c r="AF125" i="1"/>
  <c r="AC252" i="1"/>
  <c r="AG186" i="1"/>
  <c r="AG451" i="1"/>
  <c r="AG281" i="1"/>
  <c r="AE42" i="1"/>
  <c r="AB129" i="1"/>
  <c r="AE282" i="1"/>
  <c r="AE210" i="1"/>
  <c r="AE160" i="1"/>
  <c r="AF85" i="1"/>
  <c r="AE459" i="1"/>
  <c r="AE174" i="1"/>
  <c r="AA308" i="1"/>
  <c r="AG456" i="1"/>
  <c r="AE263" i="1"/>
  <c r="AF329" i="1"/>
  <c r="AC79" i="1"/>
  <c r="AB82" i="1"/>
  <c r="AG283" i="1"/>
  <c r="AC137" i="1"/>
  <c r="AD148" i="1"/>
  <c r="AC435" i="1"/>
  <c r="AC228" i="1"/>
  <c r="AC65" i="1"/>
  <c r="AB191" i="1"/>
  <c r="AD344" i="1"/>
  <c r="AB457" i="1"/>
  <c r="AD357" i="1"/>
  <c r="AB390" i="1"/>
  <c r="AG469" i="1"/>
  <c r="AD58" i="1"/>
  <c r="AF323" i="1"/>
  <c r="AG402" i="1"/>
  <c r="AG106" i="1"/>
  <c r="AG65" i="1"/>
  <c r="AE421" i="1"/>
  <c r="AD132" i="1"/>
  <c r="AG428" i="1"/>
  <c r="AD325" i="1"/>
  <c r="AG335" i="1"/>
  <c r="AG87" i="1"/>
  <c r="AC356" i="1"/>
  <c r="AB163" i="1"/>
  <c r="AG200" i="1"/>
  <c r="AD205" i="1"/>
  <c r="AA83" i="1"/>
  <c r="AC374" i="1"/>
  <c r="AF435" i="1"/>
  <c r="AF301" i="1"/>
  <c r="AC149" i="1"/>
  <c r="AD333" i="1"/>
  <c r="AD322" i="1"/>
  <c r="AA153" i="1"/>
  <c r="AG198" i="1"/>
  <c r="AE283" i="1"/>
  <c r="AD121" i="1"/>
  <c r="AE96" i="1"/>
  <c r="AA172" i="1"/>
  <c r="AE472" i="1"/>
  <c r="AF108" i="1"/>
  <c r="AB268" i="1"/>
  <c r="AB35" i="1"/>
  <c r="AG126" i="1"/>
  <c r="AE412" i="1"/>
  <c r="AF466" i="1"/>
  <c r="AA227" i="1"/>
  <c r="AB162" i="1"/>
  <c r="AE57" i="1"/>
  <c r="AE157" i="1"/>
  <c r="AB185" i="1"/>
  <c r="AG291" i="1"/>
  <c r="AD220" i="1"/>
  <c r="AC141" i="1"/>
  <c r="AC432" i="1"/>
  <c r="AG139" i="1"/>
  <c r="AB124" i="1"/>
  <c r="AF31" i="1"/>
  <c r="AF299" i="1"/>
  <c r="AC216" i="1"/>
  <c r="AF210" i="1"/>
  <c r="AA370" i="1"/>
  <c r="AD211" i="1"/>
  <c r="AC383" i="1"/>
  <c r="AD450" i="1"/>
  <c r="AA76" i="1"/>
  <c r="AA183" i="1"/>
  <c r="AF421" i="1"/>
  <c r="AB407" i="1"/>
  <c r="AG338" i="1"/>
  <c r="AD466" i="1"/>
  <c r="AC437" i="1"/>
  <c r="AG137" i="1"/>
  <c r="AA260" i="1"/>
  <c r="AD69" i="1"/>
  <c r="AB350" i="1"/>
  <c r="AA372" i="1"/>
  <c r="AF145" i="1"/>
  <c r="AB221" i="1"/>
  <c r="AF232" i="1"/>
  <c r="AC364" i="1"/>
  <c r="AD61" i="1"/>
  <c r="AF162" i="1"/>
  <c r="AE287" i="1"/>
  <c r="AC42" i="1"/>
  <c r="AA221" i="1"/>
  <c r="AE433" i="1"/>
  <c r="AE38" i="1"/>
  <c r="AA412" i="1"/>
  <c r="AF109" i="1"/>
  <c r="AD71" i="1"/>
  <c r="AB197" i="1"/>
  <c r="AE422" i="1"/>
  <c r="AE167" i="1"/>
  <c r="AE67" i="1"/>
  <c r="AB356" i="1"/>
  <c r="AE139" i="1"/>
  <c r="AB67" i="1"/>
  <c r="AC396" i="1"/>
  <c r="AG452" i="1"/>
  <c r="AF202" i="1"/>
  <c r="AD123" i="1"/>
  <c r="AA231" i="1"/>
  <c r="AG240" i="1"/>
  <c r="AC31" i="1"/>
  <c r="AE393" i="1"/>
  <c r="AC199" i="1"/>
  <c r="AF359" i="1"/>
  <c r="AC481" i="1"/>
  <c r="AD94" i="1"/>
  <c r="AF158" i="1"/>
  <c r="AB455" i="1"/>
  <c r="AD426" i="1"/>
  <c r="AB420" i="1"/>
  <c r="AC136" i="1"/>
  <c r="AC451" i="1"/>
  <c r="AE46" i="1"/>
  <c r="AG375" i="1"/>
  <c r="AC249" i="1"/>
  <c r="AD412" i="1"/>
  <c r="AA166" i="1"/>
  <c r="AB160" i="1"/>
  <c r="AB195" i="1"/>
  <c r="AA162" i="1"/>
  <c r="AG463" i="1"/>
  <c r="AF306" i="1"/>
  <c r="AE123" i="1"/>
  <c r="AF163" i="1"/>
  <c r="AA335" i="1"/>
  <c r="AE413" i="1"/>
  <c r="AD462" i="1"/>
  <c r="AG43" i="1"/>
  <c r="AE146" i="1"/>
  <c r="AA117" i="1"/>
  <c r="AC325" i="1"/>
  <c r="AB84" i="1"/>
  <c r="AE340" i="1"/>
  <c r="AC239" i="1"/>
  <c r="AG354" i="1"/>
  <c r="AG371" i="1"/>
  <c r="AB113" i="1"/>
  <c r="AD115" i="1"/>
  <c r="AA55" i="1"/>
  <c r="AC276" i="1"/>
  <c r="AC393" i="1"/>
  <c r="AF425" i="1"/>
  <c r="AA397" i="1"/>
  <c r="AD229" i="1"/>
  <c r="AG229" i="1"/>
  <c r="AB304" i="1"/>
  <c r="AG205" i="1"/>
  <c r="AC226" i="1"/>
  <c r="AD268" i="1"/>
  <c r="AE319" i="1"/>
  <c r="AA210" i="1"/>
  <c r="AA349" i="1"/>
  <c r="AF392" i="1"/>
  <c r="AB64" i="1"/>
  <c r="AD335" i="1"/>
  <c r="AF430" i="1"/>
  <c r="AE329" i="1"/>
  <c r="AD329" i="1"/>
  <c r="AA396" i="1"/>
  <c r="AF170" i="1"/>
  <c r="AC125" i="1"/>
  <c r="AD330" i="1"/>
  <c r="AF73" i="1"/>
  <c r="AF204" i="1"/>
  <c r="AD147" i="1"/>
  <c r="AF119" i="1"/>
  <c r="AF334" i="1"/>
  <c r="AF256" i="1"/>
  <c r="AF333" i="1"/>
  <c r="AC113" i="1"/>
  <c r="AC35" i="1"/>
  <c r="AF377" i="1"/>
  <c r="AA33" i="1"/>
  <c r="AE480" i="1"/>
  <c r="AF131" i="1"/>
  <c r="AG343" i="1"/>
  <c r="AG59" i="1"/>
  <c r="AD288" i="1"/>
  <c r="AC225" i="1"/>
  <c r="AC211" i="1"/>
  <c r="AA135" i="1"/>
  <c r="AG293" i="1"/>
  <c r="AC304" i="1"/>
  <c r="AA120" i="1"/>
  <c r="AC444" i="1"/>
  <c r="AE191" i="1"/>
  <c r="AE477" i="1"/>
  <c r="AB266" i="1"/>
  <c r="AG373" i="1"/>
  <c r="AB176" i="1"/>
  <c r="AC64" i="1"/>
  <c r="AD141" i="1"/>
  <c r="AF165" i="1"/>
  <c r="AF105" i="1"/>
  <c r="AC340" i="1"/>
  <c r="AC477" i="1"/>
  <c r="AE98" i="1"/>
  <c r="AC289" i="1"/>
  <c r="AG257" i="1"/>
  <c r="AA36" i="1"/>
  <c r="AD118" i="1"/>
  <c r="AF93" i="1"/>
  <c r="AB137" i="1"/>
  <c r="AD77" i="1"/>
  <c r="AB247" i="1"/>
  <c r="AD178" i="1"/>
  <c r="AD326" i="1"/>
  <c r="AC454" i="1"/>
  <c r="AC360" i="1"/>
  <c r="AA178" i="1"/>
  <c r="AA127" i="1"/>
  <c r="AF314" i="1"/>
  <c r="AC375" i="1"/>
  <c r="AE366" i="1"/>
  <c r="AG419" i="1"/>
  <c r="AF69" i="1"/>
  <c r="AC115" i="1"/>
  <c r="AC55" i="1"/>
  <c r="AB414" i="1"/>
  <c r="AF245" i="1"/>
  <c r="AD204" i="1"/>
  <c r="AD343" i="1"/>
  <c r="AF79" i="1"/>
  <c r="AE252" i="1"/>
  <c r="AE341" i="1"/>
  <c r="AC196" i="1"/>
  <c r="AD266" i="1"/>
  <c r="AF214" i="1"/>
  <c r="AE320" i="1"/>
  <c r="AB265" i="1"/>
  <c r="AE195" i="1"/>
  <c r="AB402" i="1"/>
  <c r="AD480" i="1"/>
  <c r="AD382" i="1"/>
  <c r="AD294" i="1"/>
  <c r="AA295" i="1"/>
  <c r="AG177" i="1"/>
  <c r="AB90" i="1"/>
  <c r="AA126" i="1"/>
  <c r="AD51" i="1"/>
  <c r="AG412" i="1"/>
  <c r="AF249" i="1"/>
  <c r="AB62" i="1"/>
  <c r="AF48" i="1"/>
  <c r="AB78" i="1"/>
  <c r="AE137" i="1"/>
  <c r="AC478" i="1"/>
  <c r="AA167" i="1"/>
  <c r="AF480" i="1"/>
  <c r="AE209" i="1"/>
  <c r="AD469" i="1"/>
  <c r="AF216" i="1"/>
  <c r="AA67" i="1"/>
  <c r="AA447" i="1"/>
  <c r="AC351" i="1"/>
  <c r="AD85" i="1"/>
  <c r="AA304" i="1"/>
  <c r="AD291" i="1"/>
  <c r="AA462" i="1"/>
  <c r="AA318" i="1"/>
  <c r="AB398" i="1"/>
  <c r="AG153" i="1"/>
  <c r="AE64" i="1"/>
  <c r="AD430" i="1"/>
  <c r="AB93" i="1"/>
  <c r="AD207" i="1"/>
  <c r="AB56" i="1"/>
  <c r="AF364" i="1"/>
  <c r="AC354" i="1"/>
  <c r="AD165" i="1"/>
  <c r="AE311" i="1"/>
  <c r="AE354" i="1"/>
  <c r="AE408" i="1"/>
  <c r="AF128" i="1"/>
  <c r="AB97" i="1"/>
  <c r="AA357" i="1"/>
  <c r="AA53" i="1"/>
  <c r="AD168" i="1"/>
  <c r="AB461" i="1"/>
  <c r="AG127" i="1"/>
  <c r="AB167" i="1"/>
  <c r="AD241" i="1"/>
  <c r="AB438" i="1"/>
  <c r="AB173" i="1"/>
  <c r="AG321" i="1"/>
  <c r="AG225" i="1"/>
  <c r="AD56" i="1"/>
  <c r="AF428" i="1"/>
  <c r="AB131" i="1"/>
  <c r="AB404" i="1"/>
  <c r="AD378" i="1"/>
  <c r="AC133" i="1"/>
  <c r="AF44" i="1"/>
  <c r="AG119" i="1"/>
  <c r="AA202" i="1"/>
  <c r="AG435" i="1"/>
  <c r="AB208" i="1"/>
  <c r="AF414" i="1"/>
  <c r="AB384" i="1"/>
  <c r="AF212" i="1"/>
  <c r="AE73" i="1"/>
  <c r="AG311" i="1"/>
  <c r="AA115" i="1"/>
  <c r="AC306" i="1"/>
  <c r="AA103" i="1"/>
  <c r="AF269" i="1"/>
  <c r="AF208" i="1"/>
  <c r="AF118" i="1"/>
  <c r="AB408" i="1"/>
  <c r="AA379" i="1"/>
  <c r="AF465" i="1"/>
  <c r="AA416" i="1"/>
  <c r="AC165" i="1"/>
  <c r="AE177" i="1"/>
  <c r="AB413" i="1"/>
  <c r="AG202" i="1"/>
  <c r="AA195" i="1"/>
  <c r="AA164" i="1"/>
  <c r="AD292" i="1"/>
  <c r="AB397" i="1"/>
  <c r="AB294" i="1"/>
  <c r="AG450" i="1"/>
  <c r="AF178" i="1"/>
  <c r="AD212" i="1"/>
  <c r="AD287" i="1"/>
  <c r="AB295" i="1"/>
  <c r="AA222" i="1"/>
  <c r="AF133" i="1"/>
  <c r="AF316" i="1"/>
  <c r="AD201" i="1"/>
  <c r="AE163" i="1"/>
  <c r="AE425" i="1"/>
  <c r="AB339" i="1"/>
  <c r="AA73" i="1"/>
  <c r="AF141" i="1"/>
  <c r="AF394" i="1"/>
  <c r="AF76" i="1"/>
  <c r="AE91" i="1"/>
  <c r="AG424" i="1"/>
  <c r="AD433" i="1"/>
  <c r="AB181" i="1"/>
  <c r="AC368" i="1"/>
  <c r="AA133" i="1"/>
  <c r="AG199" i="1"/>
  <c r="AC467" i="1"/>
  <c r="AB302" i="1"/>
  <c r="AD352" i="1"/>
  <c r="AG455" i="1"/>
  <c r="AG279" i="1"/>
  <c r="AB469" i="1"/>
  <c r="AF164" i="1"/>
  <c r="AC297" i="1"/>
  <c r="AC469" i="1"/>
  <c r="AB72" i="1"/>
  <c r="AB389" i="1"/>
  <c r="AB123" i="1"/>
  <c r="AF417" i="1"/>
  <c r="AD340" i="1"/>
  <c r="AE454" i="1"/>
  <c r="AB122" i="1"/>
  <c r="AD379" i="1"/>
  <c r="AG426" i="1"/>
  <c r="AD152" i="1"/>
  <c r="AA411" i="1"/>
  <c r="AC187" i="1"/>
  <c r="AG372" i="1"/>
  <c r="AD402" i="1"/>
  <c r="AB126" i="1"/>
  <c r="AC242" i="1"/>
  <c r="AG38" i="1"/>
  <c r="AG479" i="1"/>
  <c r="AD149" i="1"/>
  <c r="AD125" i="1"/>
  <c r="AA366" i="1"/>
  <c r="AE119" i="1"/>
  <c r="AF220" i="1"/>
  <c r="AD210" i="1"/>
  <c r="AA116" i="1"/>
  <c r="AB65" i="1"/>
  <c r="AA362" i="1"/>
  <c r="AB273" i="1"/>
  <c r="AG295" i="1"/>
  <c r="AD45" i="1"/>
  <c r="AE403" i="1"/>
  <c r="AC219" i="1"/>
  <c r="AE442" i="1"/>
  <c r="J220" i="1" l="1"/>
  <c r="J417" i="1"/>
  <c r="J164" i="1"/>
  <c r="J76" i="1"/>
  <c r="J394" i="1"/>
  <c r="J141" i="1"/>
  <c r="J316" i="1"/>
  <c r="J133" i="1"/>
  <c r="J178" i="1"/>
  <c r="J465" i="1"/>
  <c r="J118" i="1"/>
  <c r="J208" i="1"/>
  <c r="J269" i="1"/>
  <c r="J212" i="1"/>
  <c r="J414" i="1"/>
  <c r="J44" i="1"/>
  <c r="J428" i="1"/>
  <c r="J128" i="1"/>
  <c r="J364" i="1"/>
  <c r="J216" i="1"/>
  <c r="J480" i="1"/>
  <c r="J48" i="1"/>
  <c r="J249" i="1"/>
  <c r="J214" i="1"/>
  <c r="J79" i="1"/>
  <c r="J245" i="1"/>
  <c r="J69" i="1"/>
  <c r="J314" i="1"/>
  <c r="J93" i="1"/>
  <c r="J105" i="1"/>
  <c r="J165" i="1"/>
  <c r="J131" i="1"/>
  <c r="J377" i="1"/>
  <c r="J333" i="1"/>
  <c r="J256" i="1"/>
  <c r="J334" i="1"/>
  <c r="J119" i="1"/>
  <c r="J204" i="1"/>
  <c r="J73" i="1"/>
  <c r="J170" i="1"/>
  <c r="J430" i="1"/>
  <c r="J392" i="1"/>
  <c r="J425" i="1"/>
  <c r="J163" i="1"/>
  <c r="J306" i="1"/>
  <c r="J158" i="1"/>
  <c r="J359" i="1"/>
  <c r="J202" i="1"/>
  <c r="J109" i="1"/>
  <c r="J162" i="1"/>
  <c r="J232" i="1"/>
  <c r="J145" i="1"/>
  <c r="J421" i="1"/>
  <c r="J210" i="1"/>
  <c r="J299" i="1"/>
  <c r="J31" i="1"/>
  <c r="J466" i="1"/>
  <c r="J108" i="1"/>
  <c r="J301" i="1"/>
  <c r="J435" i="1"/>
  <c r="J323" i="1"/>
  <c r="J329" i="1"/>
  <c r="J85" i="1"/>
  <c r="J125" i="1"/>
  <c r="J175" i="1"/>
  <c r="J320" i="1"/>
  <c r="J315" i="1"/>
  <c r="J252" i="1"/>
  <c r="J100" i="1"/>
  <c r="J379" i="1"/>
  <c r="J235" i="1"/>
  <c r="J268" i="1"/>
  <c r="J325" i="1"/>
  <c r="J422" i="1"/>
  <c r="J196" i="1"/>
  <c r="J464" i="1"/>
  <c r="J452" i="1"/>
  <c r="J49" i="1"/>
  <c r="J236" i="1"/>
  <c r="J456" i="1"/>
  <c r="J312" i="1"/>
  <c r="J263" i="1"/>
  <c r="J343" i="1"/>
  <c r="J322" i="1"/>
  <c r="J443" i="1"/>
  <c r="J459" i="1"/>
  <c r="J227" i="1"/>
  <c r="J382" i="1"/>
  <c r="J419" i="1"/>
  <c r="J156" i="1"/>
  <c r="J309" i="1"/>
  <c r="J342" i="1"/>
  <c r="J193" i="1"/>
  <c r="J183" i="1"/>
  <c r="J289" i="1"/>
  <c r="J284" i="1"/>
  <c r="J51" i="1"/>
  <c r="J50" i="1"/>
  <c r="J112" i="1"/>
  <c r="J439" i="1"/>
  <c r="J303" i="1"/>
  <c r="J389" i="1"/>
  <c r="J336" i="1"/>
  <c r="J123" i="1"/>
  <c r="J139" i="1"/>
  <c r="J218" i="1"/>
  <c r="J35" i="1"/>
  <c r="J396" i="1"/>
  <c r="J310" i="1"/>
  <c r="J474" i="1"/>
  <c r="J171" i="1"/>
  <c r="J458" i="1"/>
  <c r="J106" i="1"/>
  <c r="J287" i="1"/>
  <c r="J253" i="1"/>
  <c r="J279" i="1"/>
  <c r="J148" i="1"/>
  <c r="J399" i="1"/>
  <c r="J366" i="1"/>
  <c r="J375" i="1"/>
  <c r="J262" i="1"/>
  <c r="J172" i="1"/>
  <c r="J83" i="1"/>
  <c r="J37" i="1"/>
  <c r="J107" i="1"/>
  <c r="J68" i="1"/>
  <c r="J136" i="1"/>
  <c r="J429" i="1"/>
  <c r="J445" i="1"/>
  <c r="J402" i="1"/>
  <c r="J55" i="1"/>
  <c r="J43" i="1"/>
  <c r="J276" i="1"/>
  <c r="J321" i="1"/>
  <c r="J65" i="1"/>
  <c r="J293" i="1"/>
  <c r="J206" i="1"/>
  <c r="J355" i="1"/>
  <c r="J32" i="1"/>
  <c r="J115" i="1"/>
  <c r="J351" i="1"/>
  <c r="J243" i="1"/>
  <c r="J201" i="1"/>
  <c r="J110" i="1"/>
  <c r="J259" i="1"/>
  <c r="J219" i="1"/>
  <c r="J431" i="1"/>
  <c r="J111" i="1"/>
  <c r="J405" i="1"/>
  <c r="J391" i="1"/>
  <c r="J54" i="1"/>
  <c r="J348" i="1"/>
  <c r="J282" i="1"/>
  <c r="J86" i="1"/>
  <c r="J345" i="1"/>
  <c r="J370" i="1"/>
  <c r="J213" i="1"/>
  <c r="J237" i="1"/>
  <c r="J90" i="1"/>
  <c r="J467" i="1"/>
  <c r="J401" i="1"/>
  <c r="J371" i="1"/>
  <c r="J311" i="1"/>
  <c r="J30" i="1"/>
  <c r="J302" i="1"/>
  <c r="J159" i="1"/>
  <c r="J71" i="1"/>
  <c r="J436" i="1"/>
  <c r="J101" i="1"/>
  <c r="J368" i="1"/>
  <c r="J339" i="1"/>
  <c r="J381" i="1"/>
  <c r="J155" i="1"/>
  <c r="J74" i="1"/>
  <c r="J427" i="1"/>
  <c r="J225" i="1"/>
  <c r="J45" i="1"/>
  <c r="J410" i="1"/>
  <c r="J217" i="1"/>
  <c r="J134" i="1"/>
  <c r="J257" i="1"/>
  <c r="J36" i="1"/>
  <c r="J324" i="1"/>
  <c r="J226" i="1"/>
  <c r="J385" i="1"/>
  <c r="J357" i="1"/>
  <c r="J374" i="1"/>
  <c r="J60" i="1"/>
  <c r="J46" i="1"/>
  <c r="J360" i="1"/>
  <c r="J305" i="1"/>
  <c r="J205" i="1"/>
  <c r="J373" i="1"/>
  <c r="J77" i="1"/>
  <c r="J129" i="1"/>
  <c r="J290" i="1"/>
  <c r="J224" i="1"/>
  <c r="J33" i="1"/>
  <c r="J358" i="1"/>
  <c r="J354" i="1"/>
  <c r="J255" i="1"/>
  <c r="J151" i="1"/>
  <c r="J215" i="1"/>
  <c r="J297" i="1"/>
  <c r="J242" i="1"/>
  <c r="J424" i="1"/>
  <c r="J449" i="1"/>
  <c r="J135" i="1"/>
  <c r="J126" i="1"/>
  <c r="J144" i="1"/>
  <c r="J189" i="1"/>
  <c r="J58" i="1"/>
  <c r="J166" i="1"/>
  <c r="J328" i="1"/>
  <c r="J270" i="1"/>
  <c r="J99" i="1"/>
  <c r="J278" i="1"/>
  <c r="J187" i="1"/>
  <c r="J130" i="1"/>
  <c r="J378" i="1"/>
  <c r="J283" i="1"/>
  <c r="J207" i="1"/>
  <c r="J66" i="1"/>
  <c r="J63" i="1"/>
  <c r="J157" i="1"/>
  <c r="J412" i="1"/>
  <c r="J146" i="1"/>
  <c r="J229" i="1"/>
  <c r="J234" i="1"/>
  <c r="J347" i="1"/>
  <c r="J390" i="1"/>
  <c r="J248" i="1"/>
  <c r="J222" i="1"/>
  <c r="J138" i="1"/>
  <c r="J365" i="1"/>
  <c r="J295" i="1"/>
  <c r="J47" i="1"/>
  <c r="J387" i="1"/>
  <c r="J221" i="1"/>
  <c r="J482" i="1"/>
  <c r="J273" i="1"/>
  <c r="J174" i="1"/>
  <c r="J40" i="1"/>
  <c r="J407" i="1"/>
  <c r="J476" i="1"/>
  <c r="J228" i="1"/>
  <c r="J349" i="1"/>
  <c r="J330" i="1"/>
  <c r="J337" i="1"/>
  <c r="J473" i="1"/>
  <c r="J454" i="1"/>
  <c r="J57" i="1"/>
  <c r="J84" i="1"/>
  <c r="J423" i="1"/>
  <c r="J446" i="1"/>
  <c r="J209" i="1"/>
  <c r="J223" i="1"/>
  <c r="J288" i="1"/>
  <c r="J137" i="1"/>
  <c r="J418" i="1"/>
  <c r="J120" i="1"/>
  <c r="J211" i="1"/>
  <c r="J61" i="1"/>
  <c r="J441" i="1"/>
  <c r="J409" i="1"/>
  <c r="J450" i="1"/>
  <c r="J198" i="1"/>
  <c r="J124" i="1"/>
  <c r="J240" i="1"/>
  <c r="J142" i="1"/>
  <c r="J191" i="1"/>
  <c r="J188" i="1"/>
  <c r="J275" i="1"/>
  <c r="J250" i="1"/>
  <c r="J398" i="1"/>
  <c r="J460" i="1"/>
  <c r="J304" i="1"/>
  <c r="J97" i="1"/>
  <c r="J251" i="1"/>
  <c r="J356" i="1"/>
  <c r="J203" i="1"/>
  <c r="J434" i="1"/>
  <c r="J177" i="1"/>
  <c r="J89" i="1"/>
  <c r="J415" i="1"/>
  <c r="J470" i="1"/>
  <c r="J451" i="1"/>
  <c r="J403" i="1"/>
  <c r="J291" i="1"/>
  <c r="J313" i="1"/>
  <c r="J471" i="1"/>
  <c r="J41" i="1"/>
  <c r="J197" i="1"/>
  <c r="J372" i="1"/>
  <c r="J444" i="1"/>
  <c r="J140" i="1"/>
  <c r="J362" i="1"/>
  <c r="J182" i="1"/>
  <c r="J98" i="1"/>
  <c r="J264" i="1"/>
  <c r="J113" i="1"/>
  <c r="J335" i="1"/>
  <c r="J246" i="1"/>
  <c r="J150" i="1"/>
  <c r="J173" i="1"/>
  <c r="J181" i="1"/>
  <c r="J272" i="1"/>
  <c r="J185" i="1"/>
  <c r="J326" i="1"/>
  <c r="J102" i="1"/>
  <c r="J406" i="1"/>
  <c r="J82" i="1"/>
  <c r="J393" i="1"/>
  <c r="J481" i="1"/>
  <c r="J294" i="1"/>
  <c r="J117" i="1"/>
  <c r="J478" i="1"/>
  <c r="J260" i="1"/>
  <c r="J168" i="1"/>
  <c r="J192" i="1"/>
  <c r="J308" i="1"/>
  <c r="J176" i="1"/>
  <c r="J80" i="1"/>
  <c r="J286" i="1"/>
  <c r="J400" i="1"/>
  <c r="J261" i="1"/>
  <c r="J296" i="1"/>
  <c r="J75" i="1"/>
  <c r="J87" i="1"/>
  <c r="J231" i="1"/>
  <c r="J239" i="1"/>
  <c r="J280" i="1"/>
  <c r="J353" i="1"/>
  <c r="J52" i="1"/>
  <c r="J39" i="1"/>
  <c r="J344" i="1"/>
  <c r="J94" i="1"/>
  <c r="J369" i="1"/>
  <c r="J92" i="1"/>
  <c r="J104" i="1"/>
  <c r="J432" i="1"/>
  <c r="J244" i="1"/>
  <c r="J416" i="1"/>
  <c r="J298" i="1"/>
  <c r="J319" i="1"/>
  <c r="J453" i="1"/>
  <c r="J292" i="1"/>
  <c r="J186" i="1"/>
  <c r="J395" i="1"/>
  <c r="J116" i="1"/>
  <c r="J122" i="1"/>
  <c r="J300" i="1"/>
  <c r="J127" i="1"/>
  <c r="J367" i="1"/>
  <c r="J29" i="1"/>
  <c r="J338" i="1"/>
  <c r="J361" i="1"/>
  <c r="J479" i="1"/>
  <c r="J350" i="1"/>
  <c r="J154" i="1"/>
  <c r="J274" i="1"/>
  <c r="J91" i="1"/>
  <c r="J96" i="1"/>
  <c r="J477" i="1"/>
  <c r="J386" i="1"/>
  <c r="J143" i="1"/>
  <c r="J442" i="1"/>
  <c r="J447" i="1"/>
  <c r="J59" i="1"/>
  <c r="J285" i="1"/>
  <c r="J258" i="1"/>
  <c r="J238" i="1"/>
  <c r="J281" i="1"/>
  <c r="J114" i="1"/>
  <c r="J38" i="1"/>
  <c r="J384" i="1"/>
  <c r="J420" i="1"/>
  <c r="J230" i="1"/>
  <c r="J169" i="1"/>
  <c r="J363" i="1"/>
  <c r="J121" i="1"/>
  <c r="J103" i="1"/>
  <c r="J247" i="1"/>
  <c r="J95" i="1"/>
  <c r="J271" i="1"/>
  <c r="J408" i="1"/>
  <c r="J346" i="1"/>
  <c r="J200" i="1"/>
  <c r="J352" i="1"/>
  <c r="J341" i="1"/>
  <c r="J147" i="1"/>
  <c r="J411" i="1"/>
  <c r="J448" i="1"/>
  <c r="J380" i="1"/>
  <c r="J132" i="1"/>
  <c r="J438" i="1"/>
  <c r="J462" i="1"/>
  <c r="J277" i="1"/>
  <c r="J397" i="1"/>
  <c r="J388" i="1"/>
  <c r="J161" i="1"/>
  <c r="J67" i="1"/>
  <c r="J383" i="1"/>
  <c r="J160" i="1"/>
  <c r="J472" i="1"/>
  <c r="J184" i="1"/>
  <c r="J62" i="1"/>
  <c r="J426" i="1"/>
  <c r="J42" i="1"/>
  <c r="J267" i="1"/>
  <c r="J413" i="1"/>
  <c r="J265" i="1"/>
  <c r="J455" i="1"/>
  <c r="J241" i="1"/>
  <c r="J167" i="1"/>
  <c r="J152" i="1"/>
  <c r="J318" i="1"/>
  <c r="J461" i="1"/>
  <c r="J327" i="1"/>
  <c r="J457" i="1"/>
  <c r="J340" i="1"/>
  <c r="J194" i="1"/>
  <c r="J72" i="1"/>
  <c r="J78" i="1"/>
  <c r="J56" i="1"/>
  <c r="J440" i="1"/>
  <c r="J307" i="1"/>
  <c r="J53" i="1"/>
  <c r="J199" i="1"/>
  <c r="J469" i="1"/>
  <c r="J81" i="1"/>
  <c r="J153" i="1"/>
  <c r="J463" i="1"/>
  <c r="J190" i="1"/>
  <c r="J64" i="1"/>
  <c r="J404" i="1"/>
  <c r="J254" i="1"/>
  <c r="J88" i="1"/>
  <c r="J475" i="1"/>
  <c r="J34" i="1"/>
  <c r="J433" i="1"/>
  <c r="J468" i="1"/>
  <c r="J266" i="1"/>
  <c r="J233" i="1"/>
  <c r="J376" i="1"/>
  <c r="J149" i="1"/>
  <c r="J195" i="1"/>
  <c r="J70" i="1"/>
  <c r="J317" i="1"/>
  <c r="J437" i="1"/>
  <c r="F286" i="5"/>
  <c r="I191" i="12"/>
  <c r="I191" i="13"/>
  <c r="D150" i="11"/>
  <c r="D150" i="10"/>
  <c r="D151" i="7"/>
  <c r="D151" i="10"/>
  <c r="D201" i="11"/>
  <c r="D151" i="11"/>
  <c r="D152" i="7"/>
  <c r="D200" i="11"/>
  <c r="D152" i="11"/>
  <c r="D152" i="10"/>
  <c r="D150" i="7"/>
  <c r="D202" i="11"/>
  <c r="E14" i="2"/>
  <c r="J145" i="9"/>
  <c r="E172" i="9" s="1"/>
  <c r="L18" i="2"/>
  <c r="E17" i="2"/>
  <c r="S23" i="2"/>
  <c r="U23" i="2" s="1"/>
  <c r="V23" i="2" s="1"/>
  <c r="R22" i="2"/>
  <c r="S22" i="2" s="1"/>
  <c r="U22" i="2" s="1"/>
  <c r="V22" i="2" s="1"/>
  <c r="Y22" i="2" s="1"/>
  <c r="S21" i="2"/>
  <c r="U21" i="2" s="1"/>
  <c r="V21" i="2" s="1"/>
  <c r="W21" i="2"/>
  <c r="W22" i="2" s="1"/>
  <c r="X22" i="2" s="1"/>
  <c r="J14" i="2" s="1"/>
  <c r="R20" i="2"/>
  <c r="E11" i="2"/>
  <c r="R11" i="2"/>
  <c r="S11" i="2" s="1"/>
  <c r="R14" i="2"/>
  <c r="R15" i="2" s="1"/>
  <c r="S15" i="2" s="1"/>
  <c r="S12" i="2"/>
  <c r="U12" i="2" s="1"/>
  <c r="V12" i="2" s="1"/>
  <c r="E20" i="1"/>
  <c r="S11" i="1"/>
  <c r="R10" i="1"/>
  <c r="S10" i="1" s="1"/>
  <c r="W10" i="1" s="1"/>
  <c r="X10" i="1" s="1"/>
  <c r="H11" i="1" s="1"/>
  <c r="C189" i="11" s="1"/>
  <c r="W21" i="1"/>
  <c r="R22" i="1"/>
  <c r="S22" i="1" s="1"/>
  <c r="U22" i="1" s="1"/>
  <c r="V22" i="1" s="1"/>
  <c r="Y22" i="1" s="1"/>
  <c r="R23" i="1"/>
  <c r="S21" i="1"/>
  <c r="U21" i="1" s="1"/>
  <c r="V21" i="1" s="1"/>
  <c r="R13" i="1"/>
  <c r="S13" i="1" s="1"/>
  <c r="U13" i="1" s="1"/>
  <c r="V13" i="1" s="1"/>
  <c r="Y13" i="1" s="1"/>
  <c r="S12" i="1"/>
  <c r="R14" i="1"/>
  <c r="R31" i="1"/>
  <c r="S31" i="1" s="1"/>
  <c r="S30" i="1"/>
  <c r="W30" i="1"/>
  <c r="R32" i="1"/>
  <c r="S29" i="1"/>
  <c r="W29" i="1"/>
  <c r="X29" i="1" s="1"/>
  <c r="U29" i="1" s="1"/>
  <c r="V29" i="1" s="1"/>
  <c r="Y29" i="1" s="1"/>
  <c r="R28" i="1"/>
  <c r="R19" i="1"/>
  <c r="W20" i="1"/>
  <c r="X20" i="1" s="1"/>
  <c r="S20" i="1"/>
  <c r="U20" i="1" s="1"/>
  <c r="V20" i="1" s="1"/>
  <c r="Y20" i="1" s="1"/>
  <c r="H15" i="1" s="1"/>
  <c r="C192" i="11" s="1"/>
  <c r="L12" i="2"/>
  <c r="R30" i="2"/>
  <c r="R29" i="2"/>
  <c r="L15" i="2"/>
  <c r="I362" i="1"/>
  <c r="I411" i="1"/>
  <c r="I164" i="1"/>
  <c r="I379" i="1"/>
  <c r="I103" i="1"/>
  <c r="I202" i="1"/>
  <c r="I357" i="1"/>
  <c r="I462" i="1"/>
  <c r="I127" i="1"/>
  <c r="I285" i="1"/>
  <c r="I291" i="1"/>
  <c r="I303" i="1"/>
  <c r="I102" i="1"/>
  <c r="I322" i="1"/>
  <c r="I254" i="1"/>
  <c r="I373" i="1"/>
  <c r="I163" i="1"/>
  <c r="I138" i="1"/>
  <c r="I314" i="1"/>
  <c r="I261" i="1"/>
  <c r="I259" i="1"/>
  <c r="I30" i="1"/>
  <c r="I279" i="1"/>
  <c r="I276" i="1"/>
  <c r="I311" i="1"/>
  <c r="I74" i="1"/>
  <c r="I151" i="1"/>
  <c r="I176" i="1"/>
  <c r="I60" i="1"/>
  <c r="I39" i="1"/>
  <c r="I171" i="1"/>
  <c r="I81" i="1"/>
  <c r="I367" i="1"/>
  <c r="I201" i="1"/>
  <c r="I429" i="1"/>
  <c r="I44" i="1"/>
  <c r="I190" i="1"/>
  <c r="I435" i="1"/>
  <c r="I451" i="1"/>
  <c r="I461" i="1"/>
  <c r="I168" i="1"/>
  <c r="I446" i="1"/>
  <c r="I139" i="1"/>
  <c r="I414" i="1"/>
  <c r="I293" i="1"/>
  <c r="I299" i="1"/>
  <c r="I40" i="1"/>
  <c r="I292" i="1"/>
  <c r="I243" i="1"/>
  <c r="I340" i="1"/>
  <c r="I329" i="1"/>
  <c r="I361" i="1"/>
  <c r="I177" i="1"/>
  <c r="I345" i="1"/>
  <c r="I50" i="1"/>
  <c r="I378" i="1"/>
  <c r="I469" i="1"/>
  <c r="I368" i="1"/>
  <c r="I376" i="1"/>
  <c r="I89" i="1"/>
  <c r="I302" i="1"/>
  <c r="I445" i="1"/>
  <c r="I136" i="1"/>
  <c r="I208" i="1"/>
  <c r="I338" i="1"/>
  <c r="I192" i="1"/>
  <c r="I258" i="1"/>
  <c r="I450" i="1"/>
  <c r="I415" i="1"/>
  <c r="I146" i="1"/>
  <c r="I306" i="1"/>
  <c r="I432" i="1"/>
  <c r="I99" i="1"/>
  <c r="I351" i="1"/>
  <c r="I300" i="1"/>
  <c r="I157" i="1"/>
  <c r="I223" i="1"/>
  <c r="I255" i="1"/>
  <c r="I381" i="1"/>
  <c r="I326" i="1"/>
  <c r="I403" i="1"/>
  <c r="I443" i="1"/>
  <c r="I455" i="1"/>
  <c r="I112" i="1"/>
  <c r="I325" i="1"/>
  <c r="I148" i="1"/>
  <c r="I430" i="1"/>
  <c r="I233" i="1"/>
  <c r="I91" i="1"/>
  <c r="I454" i="1"/>
  <c r="I100" i="1"/>
  <c r="I423" i="1"/>
  <c r="I475" i="1"/>
  <c r="I129" i="1"/>
  <c r="I395" i="1"/>
  <c r="I277" i="1"/>
  <c r="I156" i="1"/>
  <c r="I359" i="1"/>
  <c r="I327" i="1"/>
  <c r="I350" i="1"/>
  <c r="I45" i="1"/>
  <c r="I200" i="1"/>
  <c r="I296" i="1"/>
  <c r="I72" i="1"/>
  <c r="I470" i="1"/>
  <c r="I287" i="1"/>
  <c r="I211" i="1"/>
  <c r="I245" i="1"/>
  <c r="I428" i="1"/>
  <c r="I387" i="1"/>
  <c r="I116" i="1"/>
  <c r="I195" i="1"/>
  <c r="I115" i="1"/>
  <c r="I304" i="1"/>
  <c r="I126" i="1"/>
  <c r="I178" i="1"/>
  <c r="I33" i="1"/>
  <c r="I349" i="1"/>
  <c r="I55" i="1"/>
  <c r="I412" i="1"/>
  <c r="I183" i="1"/>
  <c r="I308" i="1"/>
  <c r="I439" i="1"/>
  <c r="I452" i="1"/>
  <c r="I427" i="1"/>
  <c r="I425" i="1"/>
  <c r="I197" i="1"/>
  <c r="I122" i="1"/>
  <c r="I184" i="1"/>
  <c r="I268" i="1"/>
  <c r="I356" i="1"/>
  <c r="I64" i="1"/>
  <c r="I165" i="1"/>
  <c r="I149" i="1"/>
  <c r="I236" i="1"/>
  <c r="I131" i="1"/>
  <c r="I383" i="1"/>
  <c r="I51" i="1"/>
  <c r="I449" i="1"/>
  <c r="I273" i="1"/>
  <c r="I101" i="1"/>
  <c r="I175" i="1"/>
  <c r="I478" i="1"/>
  <c r="I289" i="1"/>
  <c r="I124" i="1"/>
  <c r="I86" i="1"/>
  <c r="I398" i="1"/>
  <c r="I234" i="1"/>
  <c r="I342" i="1"/>
  <c r="I49" i="1"/>
  <c r="I150" i="1"/>
  <c r="I408" i="1"/>
  <c r="I108" i="1"/>
  <c r="I267" i="1"/>
  <c r="I249" i="1"/>
  <c r="I71" i="1"/>
  <c r="I43" i="1"/>
  <c r="I278" i="1"/>
  <c r="I140" i="1"/>
  <c r="I199" i="1"/>
  <c r="I105" i="1"/>
  <c r="I393" i="1"/>
  <c r="I226" i="1"/>
  <c r="I477" i="1"/>
  <c r="I409" i="1"/>
  <c r="I407" i="1"/>
  <c r="I77" i="1"/>
  <c r="I421" i="1"/>
  <c r="I309" i="1"/>
  <c r="I141" i="1"/>
  <c r="I119" i="1"/>
  <c r="I58" i="1"/>
  <c r="I252" i="1"/>
  <c r="I189" i="1"/>
  <c r="I240" i="1"/>
  <c r="I282" i="1"/>
  <c r="I323" i="1"/>
  <c r="I104" i="1"/>
  <c r="I364" i="1"/>
  <c r="I144" i="1"/>
  <c r="I235" i="1"/>
  <c r="I142" i="1"/>
  <c r="I207" i="1"/>
  <c r="I203" i="1"/>
  <c r="I118" i="1"/>
  <c r="I272" i="1"/>
  <c r="I281" i="1"/>
  <c r="I324" i="1"/>
  <c r="I85" i="1"/>
  <c r="I237" i="1"/>
  <c r="I442" i="1"/>
  <c r="I371" i="1"/>
  <c r="I464" i="1"/>
  <c r="I465" i="1"/>
  <c r="I251" i="1"/>
  <c r="I438" i="1"/>
  <c r="I458" i="1"/>
  <c r="I431" i="1"/>
  <c r="I413" i="1"/>
  <c r="I121" i="1"/>
  <c r="I269" i="1"/>
  <c r="I283" i="1"/>
  <c r="I128" i="1"/>
  <c r="I417" i="1"/>
  <c r="I400" i="1"/>
  <c r="I80" i="1"/>
  <c r="I313" i="1"/>
  <c r="I75" i="1"/>
  <c r="I284" i="1"/>
  <c r="I82" i="1"/>
  <c r="I95" i="1"/>
  <c r="I232" i="1"/>
  <c r="I111" i="1"/>
  <c r="I424" i="1"/>
  <c r="I209" i="1"/>
  <c r="I222" i="1"/>
  <c r="I416" i="1"/>
  <c r="I447" i="1"/>
  <c r="I167" i="1"/>
  <c r="I295" i="1"/>
  <c r="I120" i="1"/>
  <c r="I396" i="1"/>
  <c r="I210" i="1"/>
  <c r="I117" i="1"/>
  <c r="I162" i="1"/>
  <c r="I231" i="1"/>
  <c r="I221" i="1"/>
  <c r="I372" i="1"/>
  <c r="I76" i="1"/>
  <c r="I172" i="1"/>
  <c r="I83" i="1"/>
  <c r="I441" i="1"/>
  <c r="I250" i="1"/>
  <c r="I54" i="1"/>
  <c r="I418" i="1"/>
  <c r="I109" i="1"/>
  <c r="I63" i="1"/>
  <c r="I213" i="1"/>
  <c r="I256" i="1"/>
  <c r="I405" i="1"/>
  <c r="I321" i="1"/>
  <c r="I96" i="1"/>
  <c r="I274" i="1"/>
  <c r="I385" i="1"/>
  <c r="I434" i="1"/>
  <c r="I247" i="1"/>
  <c r="I466" i="1"/>
  <c r="I316" i="1"/>
  <c r="I352" i="1"/>
  <c r="I215" i="1"/>
  <c r="I347" i="1"/>
  <c r="I47" i="1"/>
  <c r="I70" i="1"/>
  <c r="I125" i="1"/>
  <c r="I107" i="1"/>
  <c r="I79" i="1"/>
  <c r="I369" i="1"/>
  <c r="I286" i="1"/>
  <c r="I448" i="1"/>
  <c r="I390" i="1"/>
  <c r="I214" i="1"/>
  <c r="I402" i="1"/>
  <c r="I401" i="1"/>
  <c r="I460" i="1"/>
  <c r="I481" i="1"/>
  <c r="I225" i="1"/>
  <c r="I459" i="1"/>
  <c r="I266" i="1"/>
  <c r="I137" i="1"/>
  <c r="I205" i="1"/>
  <c r="I392" i="1"/>
  <c r="I31" i="1"/>
  <c r="I339" i="1"/>
  <c r="I90" i="1"/>
  <c r="I212" i="1"/>
  <c r="I480" i="1"/>
  <c r="I37" i="1"/>
  <c r="I399" i="1"/>
  <c r="I320" i="1"/>
  <c r="I130" i="1"/>
  <c r="I353" i="1"/>
  <c r="I312" i="1"/>
  <c r="I113" i="1"/>
  <c r="I97" i="1"/>
  <c r="I66" i="1"/>
  <c r="I246" i="1"/>
  <c r="I57" i="1"/>
  <c r="I375" i="1"/>
  <c r="I354" i="1"/>
  <c r="I433" i="1"/>
  <c r="I472" i="1"/>
  <c r="I61" i="1"/>
  <c r="I161" i="1"/>
  <c r="I224" i="1"/>
  <c r="I363" i="1"/>
  <c r="I360" i="1"/>
  <c r="I337" i="1"/>
  <c r="I422" i="1"/>
  <c r="I474" i="1"/>
  <c r="I471" i="1"/>
  <c r="I290" i="1"/>
  <c r="I173" i="1"/>
  <c r="I158" i="1"/>
  <c r="I280" i="1"/>
  <c r="I186" i="1"/>
  <c r="I315" i="1"/>
  <c r="I334" i="1"/>
  <c r="I198" i="1"/>
  <c r="I52" i="1"/>
  <c r="I476" i="1"/>
  <c r="I155" i="1"/>
  <c r="I110" i="1"/>
  <c r="I143" i="1"/>
  <c r="I319" i="1"/>
  <c r="I154" i="1"/>
  <c r="I217" i="1"/>
  <c r="I391" i="1"/>
  <c r="I333" i="1"/>
  <c r="I463" i="1"/>
  <c r="I188" i="1"/>
  <c r="I194" i="1"/>
  <c r="I244" i="1"/>
  <c r="I328" i="1"/>
  <c r="I191" i="1"/>
  <c r="I46" i="1"/>
  <c r="I193" i="1"/>
  <c r="I317" i="1"/>
  <c r="I473" i="1"/>
  <c r="I482" i="1"/>
  <c r="I34" i="1"/>
  <c r="I301" i="1"/>
  <c r="I69" i="1"/>
  <c r="I366" i="1"/>
  <c r="I133" i="1"/>
  <c r="I73" i="1"/>
  <c r="I53" i="1"/>
  <c r="I318" i="1"/>
  <c r="I67" i="1"/>
  <c r="I36" i="1"/>
  <c r="I135" i="1"/>
  <c r="I397" i="1"/>
  <c r="I335" i="1"/>
  <c r="I166" i="1"/>
  <c r="I260" i="1"/>
  <c r="I370" i="1"/>
  <c r="I227" i="1"/>
  <c r="I153" i="1"/>
  <c r="I32" i="1"/>
  <c r="I297" i="1"/>
  <c r="I88" i="1"/>
  <c r="I263" i="1"/>
  <c r="I41" i="1"/>
  <c r="I388" i="1"/>
  <c r="I344" i="1"/>
  <c r="I159" i="1"/>
  <c r="I440" i="1"/>
  <c r="I147" i="1"/>
  <c r="I123" i="1"/>
  <c r="I38" i="1"/>
  <c r="I355" i="1"/>
  <c r="I182" i="1"/>
  <c r="I132" i="1"/>
  <c r="I453" i="1"/>
  <c r="I305" i="1"/>
  <c r="I436" i="1"/>
  <c r="I444" i="1"/>
  <c r="I294" i="1"/>
  <c r="I380" i="1"/>
  <c r="I196" i="1"/>
  <c r="I238" i="1"/>
  <c r="I219" i="1"/>
  <c r="I262" i="1"/>
  <c r="I265" i="1"/>
  <c r="I48" i="1"/>
  <c r="I87" i="1"/>
  <c r="I160" i="1"/>
  <c r="I56" i="1"/>
  <c r="I92" i="1"/>
  <c r="I65" i="1"/>
  <c r="I229" i="1"/>
  <c r="I275" i="1"/>
  <c r="I426" i="1"/>
  <c r="I145" i="1"/>
  <c r="I298" i="1"/>
  <c r="I114" i="1"/>
  <c r="I343" i="1"/>
  <c r="I170" i="1"/>
  <c r="I29" i="1"/>
  <c r="I84" i="1"/>
  <c r="I242" i="1"/>
  <c r="I457" i="1"/>
  <c r="I365" i="1"/>
  <c r="I389" i="1"/>
  <c r="I152" i="1"/>
  <c r="I59" i="1"/>
  <c r="I456" i="1"/>
  <c r="I346" i="1"/>
  <c r="I406" i="1"/>
  <c r="I187" i="1"/>
  <c r="I467" i="1"/>
  <c r="I169" i="1"/>
  <c r="I386" i="1"/>
  <c r="I42" i="1"/>
  <c r="I419" i="1"/>
  <c r="I241" i="1"/>
  <c r="I239" i="1"/>
  <c r="I78" i="1"/>
  <c r="I181" i="1"/>
  <c r="I98" i="1"/>
  <c r="I468" i="1"/>
  <c r="I106" i="1"/>
  <c r="I248" i="1"/>
  <c r="I384" i="1"/>
  <c r="I185" i="1"/>
  <c r="I68" i="1"/>
  <c r="I134" i="1"/>
  <c r="I220" i="1"/>
  <c r="I404" i="1"/>
  <c r="I288" i="1"/>
  <c r="I336" i="1"/>
  <c r="I479" i="1"/>
  <c r="I377" i="1"/>
  <c r="I420" i="1"/>
  <c r="I94" i="1"/>
  <c r="I93" i="1"/>
  <c r="I270" i="1"/>
  <c r="I228" i="1"/>
  <c r="I204" i="1"/>
  <c r="I174" i="1"/>
  <c r="I271" i="1"/>
  <c r="I206" i="1"/>
  <c r="I35" i="1"/>
  <c r="I62" i="1"/>
  <c r="I307" i="1"/>
  <c r="I310" i="1"/>
  <c r="I257" i="1"/>
  <c r="I264" i="1"/>
  <c r="I253" i="1"/>
  <c r="I374" i="1"/>
  <c r="I330" i="1"/>
  <c r="I382" i="1"/>
  <c r="I218" i="1"/>
  <c r="I348" i="1"/>
  <c r="I341" i="1"/>
  <c r="I358" i="1"/>
  <c r="I230" i="1"/>
  <c r="I410" i="1"/>
  <c r="I216" i="1"/>
  <c r="I394" i="1"/>
  <c r="I437" i="1"/>
  <c r="L15" i="1" l="1"/>
  <c r="B201" i="11" s="1"/>
  <c r="L12" i="1"/>
  <c r="L18" i="1"/>
  <c r="L17" i="1" s="1"/>
  <c r="B200" i="12"/>
  <c r="B200" i="13"/>
  <c r="D152" i="13"/>
  <c r="D200" i="13"/>
  <c r="B201" i="12"/>
  <c r="B201" i="13"/>
  <c r="D151" i="13"/>
  <c r="D201" i="13"/>
  <c r="E286" i="5"/>
  <c r="G191" i="12"/>
  <c r="G191" i="13"/>
  <c r="B202" i="12"/>
  <c r="B202" i="13"/>
  <c r="D202" i="13"/>
  <c r="D150" i="13"/>
  <c r="B200" i="10"/>
  <c r="B200" i="11"/>
  <c r="D150" i="9"/>
  <c r="D150" i="12"/>
  <c r="D151" i="9"/>
  <c r="D151" i="12"/>
  <c r="D152" i="9"/>
  <c r="D152" i="12"/>
  <c r="B202" i="10"/>
  <c r="B202" i="11"/>
  <c r="B201" i="10"/>
  <c r="C21" i="5"/>
  <c r="C192" i="10"/>
  <c r="C18" i="5"/>
  <c r="C189" i="10"/>
  <c r="L14" i="1"/>
  <c r="A190" i="7"/>
  <c r="L11" i="1"/>
  <c r="A190" i="9"/>
  <c r="L17" i="2"/>
  <c r="C184" i="7"/>
  <c r="E20" i="2"/>
  <c r="X21" i="2"/>
  <c r="Y23" i="2"/>
  <c r="J15" i="2" s="1"/>
  <c r="S20" i="2"/>
  <c r="U20" i="2" s="1"/>
  <c r="V20" i="2" s="1"/>
  <c r="Y20" i="2" s="1"/>
  <c r="H15" i="2" s="1"/>
  <c r="W20" i="2"/>
  <c r="X20" i="2" s="1"/>
  <c r="R19" i="2"/>
  <c r="R10" i="2"/>
  <c r="S10" i="2" s="1"/>
  <c r="W10" i="2" s="1"/>
  <c r="X10" i="2" s="1"/>
  <c r="H11" i="2" s="1"/>
  <c r="S14" i="2"/>
  <c r="U14" i="2" s="1"/>
  <c r="V14" i="2" s="1"/>
  <c r="Y14" i="2" s="1"/>
  <c r="W12" i="2"/>
  <c r="X12" i="2" s="1"/>
  <c r="Y21" i="1"/>
  <c r="I15" i="1" s="1"/>
  <c r="E10" i="5" s="1"/>
  <c r="W28" i="1"/>
  <c r="X28" i="1" s="1"/>
  <c r="H17" i="1" s="1"/>
  <c r="C193" i="11" s="1"/>
  <c r="S28" i="1"/>
  <c r="H18" i="1"/>
  <c r="W32" i="1"/>
  <c r="X32" i="1" s="1"/>
  <c r="S32" i="1"/>
  <c r="S14" i="1"/>
  <c r="R15" i="1"/>
  <c r="S15" i="1" s="1"/>
  <c r="S23" i="1"/>
  <c r="U23" i="1" s="1"/>
  <c r="V23" i="1" s="1"/>
  <c r="Y23" i="1" s="1"/>
  <c r="W23" i="1"/>
  <c r="X23" i="1" s="1"/>
  <c r="U11" i="1"/>
  <c r="V11" i="1" s="1"/>
  <c r="Y11" i="1" s="1"/>
  <c r="W11" i="1"/>
  <c r="X11" i="1" s="1"/>
  <c r="W31" i="1"/>
  <c r="X31" i="1" s="1"/>
  <c r="U31" i="1" s="1"/>
  <c r="V31" i="1" s="1"/>
  <c r="Y31" i="1" s="1"/>
  <c r="X30" i="1"/>
  <c r="W12" i="1"/>
  <c r="U12" i="1"/>
  <c r="V12" i="1" s="1"/>
  <c r="S19" i="1"/>
  <c r="W19" i="1"/>
  <c r="X19" i="1" s="1"/>
  <c r="H14" i="1" s="1"/>
  <c r="C191" i="11" s="1"/>
  <c r="W22" i="1"/>
  <c r="X22" i="1" s="1"/>
  <c r="X21" i="1"/>
  <c r="I14" i="1" s="1"/>
  <c r="E191" i="11" s="1"/>
  <c r="R31" i="2"/>
  <c r="S31" i="2" s="1"/>
  <c r="S30" i="2"/>
  <c r="R32" i="2"/>
  <c r="W30" i="2"/>
  <c r="U11" i="2"/>
  <c r="V11" i="2" s="1"/>
  <c r="Y11" i="2" s="1"/>
  <c r="W11" i="2"/>
  <c r="X11" i="2" s="1"/>
  <c r="L14" i="2"/>
  <c r="L11" i="2"/>
  <c r="R28" i="2"/>
  <c r="W29" i="2"/>
  <c r="X29" i="2" s="1"/>
  <c r="U29" i="2" s="1"/>
  <c r="V29" i="2" s="1"/>
  <c r="Y29" i="2" s="1"/>
  <c r="S29" i="2"/>
  <c r="C284" i="5" l="1"/>
  <c r="C189" i="12"/>
  <c r="C189" i="13"/>
  <c r="E287" i="5"/>
  <c r="G192" i="12"/>
  <c r="G192" i="13"/>
  <c r="C287" i="5"/>
  <c r="C192" i="12"/>
  <c r="C192" i="13"/>
  <c r="H182" i="11"/>
  <c r="H182" i="10"/>
  <c r="E192" i="11"/>
  <c r="C194" i="11"/>
  <c r="C194" i="10"/>
  <c r="C22" i="5"/>
  <c r="C193" i="10"/>
  <c r="C23" i="5"/>
  <c r="D20" i="5"/>
  <c r="E191" i="10"/>
  <c r="C20" i="5"/>
  <c r="C191" i="10"/>
  <c r="D21" i="5"/>
  <c r="E192" i="10"/>
  <c r="N14" i="1"/>
  <c r="C184" i="9"/>
  <c r="H12" i="2"/>
  <c r="W13" i="2"/>
  <c r="X13" i="2" s="1"/>
  <c r="W14" i="2"/>
  <c r="X14" i="2" s="1"/>
  <c r="K15" i="2"/>
  <c r="I14" i="2"/>
  <c r="Y21" i="2"/>
  <c r="I15" i="2" s="1"/>
  <c r="E276" i="5" s="1"/>
  <c r="S19" i="2"/>
  <c r="W19" i="2"/>
  <c r="X19" i="2" s="1"/>
  <c r="H14" i="2" s="1"/>
  <c r="I11" i="2"/>
  <c r="Y12" i="1"/>
  <c r="I12" i="1" s="1"/>
  <c r="E9" i="5" s="1"/>
  <c r="I17" i="1"/>
  <c r="U30" i="1"/>
  <c r="V30" i="1" s="1"/>
  <c r="Y30" i="1" s="1"/>
  <c r="K14" i="1"/>
  <c r="I191" i="11" s="1"/>
  <c r="J14" i="1"/>
  <c r="G191" i="11" s="1"/>
  <c r="K15" i="1"/>
  <c r="I192" i="11" s="1"/>
  <c r="J15" i="1"/>
  <c r="G192" i="11" s="1"/>
  <c r="K17" i="1"/>
  <c r="J17" i="1"/>
  <c r="U32" i="1"/>
  <c r="V32" i="1" s="1"/>
  <c r="Y32" i="1" s="1"/>
  <c r="W13" i="1"/>
  <c r="X13" i="1" s="1"/>
  <c r="X12" i="1"/>
  <c r="I11" i="1" s="1"/>
  <c r="E189" i="11" s="1"/>
  <c r="H12" i="1"/>
  <c r="C190" i="11" s="1"/>
  <c r="U14" i="1"/>
  <c r="V14" i="1" s="1"/>
  <c r="Y14" i="1" s="1"/>
  <c r="W14" i="1"/>
  <c r="X14" i="1" s="1"/>
  <c r="Y12" i="2"/>
  <c r="I12" i="2" s="1"/>
  <c r="K12" i="2"/>
  <c r="J12" i="2"/>
  <c r="S32" i="2"/>
  <c r="W32" i="2"/>
  <c r="X32" i="2" s="1"/>
  <c r="H18" i="2"/>
  <c r="W28" i="2"/>
  <c r="X28" i="2" s="1"/>
  <c r="H17" i="2" s="1"/>
  <c r="S28" i="2"/>
  <c r="W31" i="2"/>
  <c r="X31" i="2" s="1"/>
  <c r="U31" i="2" s="1"/>
  <c r="V31" i="2" s="1"/>
  <c r="Y31" i="2" s="1"/>
  <c r="X30" i="2"/>
  <c r="D285" i="5" l="1"/>
  <c r="E190" i="13"/>
  <c r="H181" i="12"/>
  <c r="E190" i="12"/>
  <c r="H181" i="13"/>
  <c r="D284" i="5"/>
  <c r="E189" i="13"/>
  <c r="E189" i="12"/>
  <c r="C285" i="5"/>
  <c r="C190" i="12"/>
  <c r="C190" i="13"/>
  <c r="E285" i="5"/>
  <c r="G190" i="12"/>
  <c r="G190" i="13"/>
  <c r="F285" i="5"/>
  <c r="I190" i="12"/>
  <c r="I190" i="13"/>
  <c r="C286" i="5"/>
  <c r="C191" i="12"/>
  <c r="C191" i="13"/>
  <c r="D287" i="5"/>
  <c r="H182" i="12"/>
  <c r="E192" i="12"/>
  <c r="E192" i="13"/>
  <c r="H182" i="13"/>
  <c r="D286" i="5"/>
  <c r="E191" i="12"/>
  <c r="E191" i="13"/>
  <c r="F287" i="5"/>
  <c r="I192" i="12"/>
  <c r="I192" i="13"/>
  <c r="C288" i="5"/>
  <c r="C193" i="13"/>
  <c r="C193" i="12"/>
  <c r="C289" i="5"/>
  <c r="C194" i="13"/>
  <c r="C194" i="12"/>
  <c r="C201" i="10"/>
  <c r="C201" i="11"/>
  <c r="E201" i="11" s="1"/>
  <c r="E190" i="11"/>
  <c r="H181" i="11"/>
  <c r="H181" i="10"/>
  <c r="E193" i="10"/>
  <c r="E193" i="11"/>
  <c r="G193" i="11"/>
  <c r="G193" i="10"/>
  <c r="I193" i="10"/>
  <c r="I193" i="11"/>
  <c r="N17" i="1"/>
  <c r="D22" i="5"/>
  <c r="E22" i="5"/>
  <c r="F22" i="5"/>
  <c r="F20" i="5"/>
  <c r="I191" i="10"/>
  <c r="E21" i="5"/>
  <c r="G192" i="10"/>
  <c r="F21" i="5"/>
  <c r="I192" i="10"/>
  <c r="E20" i="5"/>
  <c r="G191" i="10"/>
  <c r="C19" i="5"/>
  <c r="C190" i="10"/>
  <c r="D19" i="5"/>
  <c r="E190" i="10"/>
  <c r="D18" i="5"/>
  <c r="E189" i="10"/>
  <c r="AG14" i="1"/>
  <c r="N14" i="2"/>
  <c r="N11" i="2"/>
  <c r="I185" i="9"/>
  <c r="E184" i="9"/>
  <c r="G185" i="9"/>
  <c r="C185" i="9"/>
  <c r="E185" i="9"/>
  <c r="E185" i="7"/>
  <c r="E184" i="7"/>
  <c r="C185" i="7"/>
  <c r="N11" i="1"/>
  <c r="J11" i="2"/>
  <c r="K11" i="2"/>
  <c r="AD14" i="1"/>
  <c r="I18" i="1"/>
  <c r="E11" i="5" s="1"/>
  <c r="J11" i="1"/>
  <c r="G189" i="11" s="1"/>
  <c r="K11" i="1"/>
  <c r="I189" i="11" s="1"/>
  <c r="J18" i="1"/>
  <c r="K18" i="1"/>
  <c r="K12" i="1"/>
  <c r="I190" i="11" s="1"/>
  <c r="J12" i="1"/>
  <c r="G190" i="11" s="1"/>
  <c r="I17" i="2"/>
  <c r="U30" i="2"/>
  <c r="V30" i="2" s="1"/>
  <c r="Y30" i="2" s="1"/>
  <c r="N17" i="2" s="1"/>
  <c r="J17" i="2"/>
  <c r="K17" i="2"/>
  <c r="U32" i="2"/>
  <c r="V32" i="2" s="1"/>
  <c r="Y32" i="2" s="1"/>
  <c r="F284" i="5" l="1"/>
  <c r="I189" i="12"/>
  <c r="I189" i="13"/>
  <c r="E284" i="5"/>
  <c r="G189" i="12"/>
  <c r="G189" i="13"/>
  <c r="C200" i="12"/>
  <c r="C200" i="13"/>
  <c r="E200" i="13" s="1"/>
  <c r="C201" i="13"/>
  <c r="E201" i="13" s="1"/>
  <c r="C201" i="12"/>
  <c r="D288" i="5"/>
  <c r="E193" i="13"/>
  <c r="E193" i="12"/>
  <c r="F288" i="5"/>
  <c r="I193" i="13"/>
  <c r="I193" i="12"/>
  <c r="E288" i="5"/>
  <c r="G193" i="13"/>
  <c r="G193" i="12"/>
  <c r="C202" i="13"/>
  <c r="E202" i="13" s="1"/>
  <c r="C202" i="12"/>
  <c r="H183" i="11"/>
  <c r="H183" i="10"/>
  <c r="C200" i="10"/>
  <c r="C200" i="11"/>
  <c r="E200" i="11" s="1"/>
  <c r="C202" i="10"/>
  <c r="C202" i="11"/>
  <c r="E202" i="11" s="1"/>
  <c r="I194" i="11"/>
  <c r="I194" i="10"/>
  <c r="E194" i="10"/>
  <c r="E194" i="11"/>
  <c r="G194" i="10"/>
  <c r="G194" i="11"/>
  <c r="F23" i="5"/>
  <c r="D23" i="5"/>
  <c r="E23" i="5"/>
  <c r="E19" i="5"/>
  <c r="G190" i="10"/>
  <c r="F18" i="5"/>
  <c r="I189" i="10"/>
  <c r="F19" i="5"/>
  <c r="I190" i="10"/>
  <c r="E18" i="5"/>
  <c r="G189" i="10"/>
  <c r="AG14" i="2"/>
  <c r="E190" i="9"/>
  <c r="G184" i="7"/>
  <c r="E190" i="7"/>
  <c r="G185" i="7"/>
  <c r="AD13" i="2"/>
  <c r="G184" i="9"/>
  <c r="I184" i="9"/>
  <c r="I185" i="7"/>
  <c r="I184" i="7"/>
  <c r="AG10" i="1"/>
  <c r="AG13" i="2"/>
  <c r="AD10" i="2"/>
  <c r="AD14" i="2"/>
  <c r="AG10" i="2"/>
  <c r="I18" i="2"/>
  <c r="E277" i="5" s="1"/>
  <c r="AG13" i="1"/>
  <c r="AD10" i="1"/>
  <c r="AG11" i="1"/>
  <c r="AD13" i="1"/>
  <c r="AD15" i="1"/>
  <c r="AG15" i="1"/>
  <c r="AG9" i="1"/>
  <c r="AD9" i="1"/>
  <c r="AD11" i="1"/>
  <c r="AG12" i="1"/>
  <c r="AD12" i="1"/>
  <c r="K18" i="2"/>
  <c r="J18" i="2"/>
  <c r="E289" i="5" l="1"/>
  <c r="G194" i="12"/>
  <c r="G194" i="13"/>
  <c r="F289" i="5"/>
  <c r="I194" i="12"/>
  <c r="I194" i="13"/>
  <c r="D289" i="5"/>
  <c r="E194" i="12"/>
  <c r="H183" i="13"/>
  <c r="H183" i="12"/>
  <c r="E194" i="13"/>
  <c r="AD9" i="2"/>
  <c r="AD15" i="2"/>
  <c r="AG12" i="2"/>
  <c r="AD12" i="2"/>
  <c r="AG11" i="2"/>
  <c r="AG9" i="2"/>
  <c r="AD11" i="2"/>
  <c r="AG15" i="2"/>
  <c r="K4" i="1"/>
  <c r="E200" i="10" s="1"/>
  <c r="N4" i="1"/>
  <c r="F200" i="11" s="1"/>
  <c r="G10" i="3"/>
  <c r="C10" i="3"/>
  <c r="K4" i="2" l="1"/>
  <c r="E200" i="12" s="1"/>
  <c r="N4" i="2"/>
  <c r="F200" i="13" s="1"/>
  <c r="E13" i="3"/>
  <c r="C25" i="3" l="1"/>
</calcChain>
</file>

<file path=xl/sharedStrings.xml><?xml version="1.0" encoding="utf-8"?>
<sst xmlns="http://schemas.openxmlformats.org/spreadsheetml/2006/main" count="1571" uniqueCount="366">
  <si>
    <t>Student Growth Objective Worksheet</t>
  </si>
  <si>
    <t>Teacher Name:</t>
  </si>
  <si>
    <t>Number Of Students</t>
  </si>
  <si>
    <t>Weight</t>
  </si>
  <si>
    <t>Target for Full</t>
  </si>
  <si>
    <t>Attainment Level in Meeting SGO 1</t>
  </si>
  <si>
    <t>Exceptional(4)</t>
  </si>
  <si>
    <t>Full(3)</t>
  </si>
  <si>
    <t>Partial(2)</t>
  </si>
  <si>
    <t>Insufficent(1)</t>
  </si>
  <si>
    <t xml:space="preserve">Calculated </t>
  </si>
  <si>
    <t>Attainment %</t>
  </si>
  <si>
    <t>Rating</t>
  </si>
  <si>
    <t>SGO Targets and Progress</t>
  </si>
  <si>
    <t>Name</t>
  </si>
  <si>
    <t>SGO #1</t>
  </si>
  <si>
    <t>Attainment</t>
  </si>
  <si>
    <t>Total</t>
  </si>
  <si>
    <t>Margin of Error:</t>
  </si>
  <si>
    <t>Full High</t>
  </si>
  <si>
    <t>Full Low</t>
  </si>
  <si>
    <t>Partial High</t>
  </si>
  <si>
    <t>Partial Low</t>
  </si>
  <si>
    <t>Exceptional</t>
  </si>
  <si>
    <t>Insufficent</t>
  </si>
  <si>
    <t>Percent</t>
  </si>
  <si>
    <t>Number</t>
  </si>
  <si>
    <t>Weight:</t>
  </si>
  <si>
    <t>High</t>
  </si>
  <si>
    <t>Mid</t>
  </si>
  <si>
    <t>Low</t>
  </si>
  <si>
    <t>SGO Name:</t>
  </si>
  <si>
    <t>SGO # 1 Final Score</t>
  </si>
  <si>
    <t>SGO# 2 Final Score</t>
  </si>
  <si>
    <t>SGO #1 Weight</t>
  </si>
  <si>
    <t>SGO #2 Weight</t>
  </si>
  <si>
    <t>Final SGO Calculation</t>
  </si>
  <si>
    <t>Total SGO Weight</t>
  </si>
  <si>
    <t>HIGH</t>
  </si>
  <si>
    <t>Group</t>
  </si>
  <si>
    <t>Targeted Area</t>
  </si>
  <si>
    <t>Pretest Score</t>
  </si>
  <si>
    <t>Target Score</t>
  </si>
  <si>
    <t>MidTest Score</t>
  </si>
  <si>
    <t>Post Score</t>
  </si>
  <si>
    <t>Pre Assessment Date</t>
  </si>
  <si>
    <t>Mid Assessment Date</t>
  </si>
  <si>
    <t>Post Assessment Date</t>
  </si>
  <si>
    <t>SGO Calculations</t>
  </si>
  <si>
    <t>SGO Information</t>
  </si>
  <si>
    <t>Teacher Name</t>
  </si>
  <si>
    <t>SGO #1 Name</t>
  </si>
  <si>
    <t>SGO #2 Name</t>
  </si>
  <si>
    <t># of Students</t>
  </si>
  <si>
    <t xml:space="preserve"> SGO Rating</t>
  </si>
  <si>
    <t>MID</t>
  </si>
  <si>
    <t>SGO Rating</t>
  </si>
  <si>
    <t>---</t>
  </si>
  <si>
    <t>Average  of High and Mid</t>
  </si>
  <si>
    <t>Average of High and Low</t>
  </si>
  <si>
    <t>Average of Mid and Low</t>
  </si>
  <si>
    <t>Weighted  of High and Mid</t>
  </si>
  <si>
    <t>Weighted of High and Low</t>
  </si>
  <si>
    <t>Weighted of Mid and Low</t>
  </si>
  <si>
    <t>Average of All</t>
  </si>
  <si>
    <t>Weighted of All</t>
  </si>
  <si>
    <t>One High</t>
  </si>
  <si>
    <t>One Mid</t>
  </si>
  <si>
    <t>One Low</t>
  </si>
  <si>
    <t>Fill in any sections which are highlighted in yellow to complete the SGO calculator</t>
  </si>
  <si>
    <r>
      <t xml:space="preserve">Type your </t>
    </r>
    <r>
      <rPr>
        <b/>
        <sz val="11"/>
        <color rgb="FFFF0000"/>
        <rFont val="Calibri"/>
        <family val="2"/>
        <scheme val="minor"/>
      </rPr>
      <t>SGO #2</t>
    </r>
    <r>
      <rPr>
        <b/>
        <sz val="11"/>
        <color theme="1"/>
        <rFont val="Calibri"/>
        <family val="2"/>
        <scheme val="minor"/>
      </rPr>
      <t xml:space="preserve"> score here. Please make sure that you use the correct score(Average or Weighted) </t>
    </r>
  </si>
  <si>
    <r>
      <t xml:space="preserve">Type your </t>
    </r>
    <r>
      <rPr>
        <b/>
        <sz val="11"/>
        <color rgb="FFFF0000"/>
        <rFont val="Calibri"/>
        <family val="2"/>
        <scheme val="minor"/>
      </rPr>
      <t>SGO #1</t>
    </r>
    <r>
      <rPr>
        <b/>
        <sz val="11"/>
        <color theme="1"/>
        <rFont val="Calibri"/>
        <family val="2"/>
        <scheme val="minor"/>
      </rPr>
      <t xml:space="preserve"> score here. Please make sure that you use the correct score(Average or Weighted) </t>
    </r>
  </si>
  <si>
    <r>
      <t xml:space="preserve">Final </t>
    </r>
    <r>
      <rPr>
        <b/>
        <sz val="11"/>
        <color rgb="FFFF0000"/>
        <rFont val="Calibri"/>
        <family val="2"/>
        <scheme val="minor"/>
      </rPr>
      <t>Average</t>
    </r>
  </si>
  <si>
    <r>
      <t xml:space="preserve">Final </t>
    </r>
    <r>
      <rPr>
        <b/>
        <sz val="11"/>
        <color rgb="FFFF0000"/>
        <rFont val="Calibri"/>
        <family val="2"/>
        <scheme val="minor"/>
      </rPr>
      <t>Weighted</t>
    </r>
  </si>
  <si>
    <t>SGO #2</t>
  </si>
  <si>
    <t>_0</t>
  </si>
  <si>
    <t>_1</t>
  </si>
  <si>
    <t>_2</t>
  </si>
  <si>
    <t>_3</t>
  </si>
  <si>
    <t>_4</t>
  </si>
  <si>
    <t>_5</t>
  </si>
  <si>
    <t>_6</t>
  </si>
  <si>
    <t>_7</t>
  </si>
  <si>
    <t>_8</t>
  </si>
  <si>
    <t>_9</t>
  </si>
  <si>
    <t>_10</t>
  </si>
  <si>
    <t>_11</t>
  </si>
  <si>
    <t>_12</t>
  </si>
  <si>
    <t>_13</t>
  </si>
  <si>
    <t>_14</t>
  </si>
  <si>
    <t>_15</t>
  </si>
  <si>
    <t>_16</t>
  </si>
  <si>
    <t>_17</t>
  </si>
  <si>
    <t>_18</t>
  </si>
  <si>
    <t>_19</t>
  </si>
  <si>
    <t>_20</t>
  </si>
  <si>
    <t>_21</t>
  </si>
  <si>
    <t>_22</t>
  </si>
  <si>
    <t>_23</t>
  </si>
  <si>
    <t>_24</t>
  </si>
  <si>
    <t>_25</t>
  </si>
  <si>
    <t>_26</t>
  </si>
  <si>
    <t>_27</t>
  </si>
  <si>
    <t>_28</t>
  </si>
  <si>
    <t>_29</t>
  </si>
  <si>
    <t>_30</t>
  </si>
  <si>
    <t>_31</t>
  </si>
  <si>
    <t>_32</t>
  </si>
  <si>
    <t>_33</t>
  </si>
  <si>
    <t>_34</t>
  </si>
  <si>
    <t>_35</t>
  </si>
  <si>
    <t>_36</t>
  </si>
  <si>
    <t>_37</t>
  </si>
  <si>
    <t>_38</t>
  </si>
  <si>
    <t>_39</t>
  </si>
  <si>
    <t>_40</t>
  </si>
  <si>
    <t>_41</t>
  </si>
  <si>
    <t>_42</t>
  </si>
  <si>
    <t>_43</t>
  </si>
  <si>
    <t>_44</t>
  </si>
  <si>
    <t>_45</t>
  </si>
  <si>
    <t>_46</t>
  </si>
  <si>
    <t>_47</t>
  </si>
  <si>
    <t>_48</t>
  </si>
  <si>
    <t>_49</t>
  </si>
  <si>
    <t>_50</t>
  </si>
  <si>
    <t>_51</t>
  </si>
  <si>
    <t>_52</t>
  </si>
  <si>
    <t>_53</t>
  </si>
  <si>
    <t>_54</t>
  </si>
  <si>
    <t>_55</t>
  </si>
  <si>
    <t>_56</t>
  </si>
  <si>
    <t>_57</t>
  </si>
  <si>
    <t>_58</t>
  </si>
  <si>
    <t>_59</t>
  </si>
  <si>
    <t>_60</t>
  </si>
  <si>
    <t>_61</t>
  </si>
  <si>
    <t>_62</t>
  </si>
  <si>
    <t>_63</t>
  </si>
  <si>
    <t>_64</t>
  </si>
  <si>
    <t>_65</t>
  </si>
  <si>
    <t>_66</t>
  </si>
  <si>
    <t>_67</t>
  </si>
  <si>
    <t>_68</t>
  </si>
  <si>
    <t>_69</t>
  </si>
  <si>
    <t>_70</t>
  </si>
  <si>
    <t>_71</t>
  </si>
  <si>
    <t>_72</t>
  </si>
  <si>
    <t>_73</t>
  </si>
  <si>
    <t>_74</t>
  </si>
  <si>
    <t>_75</t>
  </si>
  <si>
    <t>_76</t>
  </si>
  <si>
    <t>_77</t>
  </si>
  <si>
    <t>_78</t>
  </si>
  <si>
    <t>_79</t>
  </si>
  <si>
    <t>_80</t>
  </si>
  <si>
    <t>_81</t>
  </si>
  <si>
    <t>_82</t>
  </si>
  <si>
    <t>_83</t>
  </si>
  <si>
    <t>_84</t>
  </si>
  <si>
    <t>_85</t>
  </si>
  <si>
    <t>_86</t>
  </si>
  <si>
    <t>_87</t>
  </si>
  <si>
    <t>_88</t>
  </si>
  <si>
    <t>_89</t>
  </si>
  <si>
    <t>_90</t>
  </si>
  <si>
    <t>_91</t>
  </si>
  <si>
    <t>_92</t>
  </si>
  <si>
    <t>_93</t>
  </si>
  <si>
    <t>_94</t>
  </si>
  <si>
    <t>_95</t>
  </si>
  <si>
    <t>_96</t>
  </si>
  <si>
    <t>_97</t>
  </si>
  <si>
    <t>_98</t>
  </si>
  <si>
    <t>_99</t>
  </si>
  <si>
    <t>_100</t>
  </si>
  <si>
    <t>SGO#1</t>
  </si>
  <si>
    <t>low</t>
  </si>
  <si>
    <t>mid</t>
  </si>
  <si>
    <t>high</t>
  </si>
  <si>
    <t>SGO#2</t>
  </si>
  <si>
    <t>C</t>
  </si>
  <si>
    <t>D</t>
  </si>
  <si>
    <t>E</t>
  </si>
  <si>
    <t>F</t>
  </si>
  <si>
    <t>G</t>
  </si>
  <si>
    <t>H</t>
  </si>
  <si>
    <t>Error Message</t>
  </si>
  <si>
    <t>LOW or SIMPLE</t>
  </si>
  <si>
    <t>LOW/SIMPLE</t>
  </si>
  <si>
    <t>Low/Simple</t>
  </si>
  <si>
    <t>B</t>
  </si>
  <si>
    <t>Medium</t>
  </si>
  <si>
    <t>SGO Data Page</t>
  </si>
  <si>
    <t>SGO #1 Name:</t>
  </si>
  <si>
    <t>Preparedness Group</t>
  </si>
  <si>
    <t>Number of Students in Each Group</t>
  </si>
  <si>
    <t>Number of students for full attainment</t>
  </si>
  <si>
    <t>Scoring Plan</t>
  </si>
  <si>
    <t>Insufficient (1)</t>
  </si>
  <si>
    <t>Student Growth Objective</t>
  </si>
  <si>
    <t>Student Grouping</t>
  </si>
  <si>
    <t>Total Students</t>
  </si>
  <si>
    <r>
      <t>Grade Level/Subject</t>
    </r>
    <r>
      <rPr>
        <sz val="11"/>
        <color theme="1"/>
        <rFont val="Calibri"/>
        <family val="2"/>
        <scheme val="minor"/>
      </rPr>
      <t xml:space="preserve">: </t>
    </r>
  </si>
  <si>
    <r>
      <t>Teacher(s)</t>
    </r>
    <r>
      <rPr>
        <sz val="11"/>
        <color theme="1"/>
        <rFont val="Calibri"/>
        <family val="2"/>
        <scheme val="minor"/>
      </rPr>
      <t xml:space="preserve">: </t>
    </r>
  </si>
  <si>
    <t>Evaluator Name:</t>
  </si>
  <si>
    <r>
      <rPr>
        <b/>
        <sz val="11"/>
        <color theme="1"/>
        <rFont val="Calibri"/>
        <family val="2"/>
        <scheme val="minor"/>
      </rPr>
      <t>Directions:</t>
    </r>
    <r>
      <rPr>
        <sz val="11"/>
        <color theme="1"/>
        <rFont val="Calibri"/>
        <family val="2"/>
        <scheme val="minor"/>
      </rPr>
      <t xml:space="preserve"> For any school-based assessment used for the purposes of SGOs, please complete the steps below.  If a department or team of teachers is using a common assessment, only one copy should be turned in per assessment. (Please make sure all teachers using the assessment are listed above). </t>
    </r>
  </si>
  <si>
    <r>
      <rPr>
        <b/>
        <sz val="11"/>
        <color theme="1"/>
        <rFont val="Calibri"/>
        <family val="2"/>
        <scheme val="minor"/>
      </rPr>
      <t>1)</t>
    </r>
    <r>
      <rPr>
        <sz val="11"/>
        <color theme="1"/>
        <rFont val="Calibri"/>
        <family val="2"/>
        <scheme val="minor"/>
      </rPr>
      <t xml:space="preserve"> Complete the Standards Alignment and Coverage Check chart.                                                                                                  Using the New Jersey Core Curriculum Content Standards or the Common Core State Standards, identify which standards align to which questions or tasks on your assessment.  Write or type the standards next to the assessment questions.  Attach this chart to this form. 
</t>
    </r>
  </si>
  <si>
    <r>
      <rPr>
        <b/>
        <sz val="11"/>
        <color theme="1"/>
        <rFont val="Calibri"/>
        <family val="2"/>
        <scheme val="minor"/>
      </rPr>
      <t>2)</t>
    </r>
    <r>
      <rPr>
        <sz val="11"/>
        <color theme="1"/>
        <rFont val="Calibri"/>
        <family val="2"/>
        <scheme val="minor"/>
      </rPr>
      <t xml:space="preserve">  Complete the Assessment Rigor and Depth of Knowledge Analysis chart
Give examples of assessment questions or tasks that fall under various levels of the Depth of Knowledge Framework.   Note: Not all questions must be categorized, but there must be sufficient examples given of questions meeting a higher-level of rigor. Attach this chart to this form. 
</t>
    </r>
  </si>
  <si>
    <r>
      <rPr>
        <b/>
        <sz val="11"/>
        <color theme="1"/>
        <rFont val="Calibri"/>
        <family val="2"/>
        <scheme val="minor"/>
      </rPr>
      <t>3)</t>
    </r>
    <r>
      <rPr>
        <sz val="11"/>
        <color theme="1"/>
        <rFont val="Calibri"/>
        <family val="2"/>
        <scheme val="minor"/>
      </rPr>
      <t xml:space="preserve"> Review the Approval Checklist for School-based Assessments 
Refer to this form to ensure that your assessment and rubrics are constructed appropriately.  Specifically, check for aspects of the assessment not addressed by parts (1) and (2) above:
</t>
    </r>
  </si>
  <si>
    <r>
      <t>ü</t>
    </r>
    <r>
      <rPr>
        <sz val="7"/>
        <color rgb="FF000000"/>
        <rFont val="Times New Roman"/>
        <family val="1"/>
      </rPr>
      <t xml:space="preserve">  </t>
    </r>
    <r>
      <rPr>
        <sz val="11"/>
        <color rgb="FF000000"/>
        <rFont val="Calibri"/>
        <family val="2"/>
      </rPr>
      <t xml:space="preserve">Are questions/tasks written clearly? </t>
    </r>
  </si>
  <si>
    <r>
      <t>ü</t>
    </r>
    <r>
      <rPr>
        <sz val="7"/>
        <color rgb="FF000000"/>
        <rFont val="Times New Roman"/>
        <family val="1"/>
      </rPr>
      <t xml:space="preserve">  </t>
    </r>
    <r>
      <rPr>
        <sz val="11"/>
        <color rgb="FF000000"/>
        <rFont val="Calibri"/>
        <family val="2"/>
      </rPr>
      <t xml:space="preserve">Are there a variety of types of questions/tasks? </t>
    </r>
  </si>
  <si>
    <r>
      <t>ü</t>
    </r>
    <r>
      <rPr>
        <sz val="7"/>
        <color rgb="FF000000"/>
        <rFont val="Times New Roman"/>
        <family val="1"/>
      </rPr>
      <t xml:space="preserve">  </t>
    </r>
    <r>
      <rPr>
        <sz val="11"/>
        <color rgb="FF000000"/>
        <rFont val="Calibri"/>
        <family val="2"/>
      </rPr>
      <t xml:space="preserve">Are the questions/tasks free of bias? </t>
    </r>
  </si>
  <si>
    <r>
      <t>ü</t>
    </r>
    <r>
      <rPr>
        <sz val="7"/>
        <color rgb="FF000000"/>
        <rFont val="Times New Roman"/>
        <family val="1"/>
      </rPr>
      <t xml:space="preserve">  </t>
    </r>
    <r>
      <rPr>
        <sz val="11"/>
        <color rgb="FF000000"/>
        <rFont val="Calibri"/>
        <family val="2"/>
      </rPr>
      <t xml:space="preserve">Are the questions appropriate for the subject/grade level? </t>
    </r>
  </si>
  <si>
    <r>
      <t>ü</t>
    </r>
    <r>
      <rPr>
        <sz val="7"/>
        <color rgb="FF000000"/>
        <rFont val="Times New Roman"/>
        <family val="1"/>
      </rPr>
      <t xml:space="preserve">  </t>
    </r>
    <r>
      <rPr>
        <sz val="11"/>
        <color rgb="FF000000"/>
        <rFont val="Calibri"/>
        <family val="2"/>
      </rPr>
      <t xml:space="preserve">Are rubrics carefully designed? </t>
    </r>
  </si>
  <si>
    <t xml:space="preserve">4) If the assessment(s) will need to be adapted for students with special needs, please specify any changes below: </t>
  </si>
  <si>
    <t>Please return this form to your primary evaluator, along with a copy of the assessment(s), Standards Alignment and Coverage Check chart, Assessment Rigor and Depth of Knowledge Analysis chart, and any additional supporting materials (rubrics, scoring guides, etc).</t>
  </si>
  <si>
    <r>
      <rPr>
        <sz val="14"/>
        <color theme="3" tint="0.39997558519241921"/>
        <rFont val="Calibri"/>
        <family val="2"/>
        <scheme val="minor"/>
      </rPr>
      <t>SGO Step 1, Form 2: Choose or Develop Quality Assessments</t>
    </r>
    <r>
      <rPr>
        <sz val="14"/>
        <color theme="1"/>
        <rFont val="Calibri"/>
        <family val="2"/>
        <scheme val="minor"/>
      </rPr>
      <t xml:space="preserve">
Standards Alignment and Coverage Check
</t>
    </r>
  </si>
  <si>
    <r>
      <rPr>
        <b/>
        <sz val="11"/>
        <color theme="1"/>
        <rFont val="Calibri"/>
        <family val="2"/>
        <scheme val="minor"/>
      </rPr>
      <t>Directions:</t>
    </r>
    <r>
      <rPr>
        <sz val="11"/>
        <color theme="1"/>
        <rFont val="Calibri"/>
        <family val="2"/>
        <scheme val="minor"/>
      </rPr>
      <t xml:space="preserve"> After aligning assessment to New Jersey Core Curriculum Content Standards or the Common Core State Standards, use the chart below to list assessment questions with the corresponding standards to which they are aligned.  Use extra sheets as needed. Teachers with common assessments need only complete one copy.</t>
    </r>
  </si>
  <si>
    <t>Standard Number</t>
  </si>
  <si>
    <t>Standard Description</t>
  </si>
  <si>
    <t>Question Numbers/Portfolio Components</t>
  </si>
  <si>
    <r>
      <rPr>
        <sz val="14"/>
        <color theme="3" tint="0.39997558519241921"/>
        <rFont val="Calibri"/>
        <family val="2"/>
        <scheme val="minor"/>
      </rPr>
      <t>SGO Step 1, Form 3: Choose or Develop Quality Assessments</t>
    </r>
    <r>
      <rPr>
        <sz val="14"/>
        <color theme="1"/>
        <rFont val="Calibri"/>
        <family val="2"/>
        <scheme val="minor"/>
      </rPr>
      <t xml:space="preserve">
Assessment Rigor and Depth of Knowledge Analysis
</t>
    </r>
  </si>
  <si>
    <r>
      <rPr>
        <b/>
        <sz val="11"/>
        <color theme="1"/>
        <rFont val="Calibri"/>
        <family val="2"/>
        <scheme val="minor"/>
      </rPr>
      <t>Directions:</t>
    </r>
    <r>
      <rPr>
        <sz val="11"/>
        <color theme="1"/>
        <rFont val="Calibri"/>
        <family val="2"/>
        <scheme val="minor"/>
      </rPr>
      <t xml:space="preserve"> Use the chart below to categorize assessment questions. Rigor increases as you go down the chart. While not all questions need be categorized, there must be sufficient examples of the highest levels of rigor. Teachers with common assessments need only complete one copy.</t>
    </r>
  </si>
  <si>
    <t>Level</t>
  </si>
  <si>
    <t>Learner Action</t>
  </si>
  <si>
    <t>Key Actions</t>
  </si>
  <si>
    <t>Sample Question Stems</t>
  </si>
  <si>
    <t xml:space="preserve">Level 1: 
Recall 
</t>
  </si>
  <si>
    <t xml:space="preserve">Level 2:
Concept 
</t>
  </si>
  <si>
    <t xml:space="preserve">Level 3: 
Strategic Thinking 
</t>
  </si>
  <si>
    <t xml:space="preserve">Level 4: 
Extended Thinking 
</t>
  </si>
  <si>
    <t>Requires simple recall of such information as a fact, definition, term, or simple procedure.</t>
  </si>
  <si>
    <t xml:space="preserve">Involves some mental skills, concepts, or processing beyond a habitual response; students must make some decisions about how to approach a problem or activity. </t>
  </si>
  <si>
    <t xml:space="preserve">Requires reasoning, planning, using evidence, and thinking at a higher level. </t>
  </si>
  <si>
    <t>Requires complex reasoning, planning, developing, and thinking, most likely over an extended time. Cognitive demands are high, and students are required to make connections both within and among subject domains.</t>
  </si>
  <si>
    <t xml:space="preserve">List, Tell, Define, Label, Identify, Name, State, Write, Locate, Find, Match, Measure, Repeat </t>
  </si>
  <si>
    <t xml:space="preserve">How many...? 
Label parts of the…. 
Which is true or false...? 
</t>
  </si>
  <si>
    <t xml:space="preserve">Estimate, Compare, Organize, Interpret, Modify, Predict, Cause/Effect, Summarize, Graph, Classify </t>
  </si>
  <si>
    <t xml:space="preserve">Identify patterns in... 
Use context clues to... Predict what will happen when... 
What differences exist between...? 
If x occurs, y will…. 
</t>
  </si>
  <si>
    <t xml:space="preserve">Critique, Formulate, Hypothesize, Construct, Revise, Investigate, Differentiate, Compare </t>
  </si>
  <si>
    <t xml:space="preserve">Construct a defense of…. Can you illustrate the concept of…? 
Apply the method used to determine...? 
Use evidence to support…. 
</t>
  </si>
  <si>
    <t>Design, Connect, Synthesize, Apply, Critique, Analyze, Create, Prove, Support</t>
  </si>
  <si>
    <t xml:space="preserve">Design x in order to….. 
Develop a proposal to…. Create a model that…. 
Critique the notion that…
</t>
  </si>
  <si>
    <r>
      <rPr>
        <sz val="14"/>
        <color theme="3" tint="0.39997558519241921"/>
        <rFont val="Calibri"/>
        <family val="2"/>
        <scheme val="minor"/>
      </rPr>
      <t>SGO Step 1, Form 4: Choose or Develop Quality Assessments</t>
    </r>
    <r>
      <rPr>
        <sz val="14"/>
        <color theme="1"/>
        <rFont val="Calibri"/>
        <family val="2"/>
        <scheme val="minor"/>
      </rPr>
      <t xml:space="preserve">
Approval Checklist for School-based Assessments
</t>
    </r>
  </si>
  <si>
    <t>Criteria</t>
  </si>
  <si>
    <t>Considerations (Check all that apply)</t>
  </si>
  <si>
    <t xml:space="preserve">Items/tasks cover key subject/grade-level content standards. </t>
  </si>
  <si>
    <t xml:space="preserve">Where applicable, items/tasks cover knowledge and skills that will be of value beyond the year – either in the next level of the subject, in other academic disciplines, or in career/life. </t>
  </si>
  <si>
    <t>Where applicable, there are low- and high-end stretch items that cover pre-requisite objectives from prior years and objectives from the next year/course.</t>
  </si>
  <si>
    <t xml:space="preserve">Scoring system is weighted appropriately for question complexity. </t>
  </si>
  <si>
    <t>Evidence/Feedback:</t>
  </si>
  <si>
    <t xml:space="preserve">Alignment and Stretch </t>
  </si>
  <si>
    <t xml:space="preserve">Overall, the items, tasks, rubrics are appropriately challenging for the grade-level/course (e.g. appropriate depth of knowledge and correct reading level). </t>
  </si>
  <si>
    <t xml:space="preserve">Many items/tasks require strategic and extended thinking. </t>
  </si>
  <si>
    <t>Multiple-choice questions are appropriately rigorous or complex (e.g. multistep, four or more choices).</t>
  </si>
  <si>
    <t>Key content standards are assessed at greater depths of understanding and/or complexity</t>
  </si>
  <si>
    <t xml:space="preserve">Rigor and Complexity </t>
  </si>
  <si>
    <t xml:space="preserve">Format Captures True Mastery </t>
  </si>
  <si>
    <t xml:space="preserve">Items/tasks are written clearly. </t>
  </si>
  <si>
    <t xml:space="preserve">The assessment/tasks are free from bias; no wording or knowledge that is accessible to only specific ethnicities, subcultures, or genders. </t>
  </si>
  <si>
    <t xml:space="preserve">Some standards are assessed across multiple items/tasks. </t>
  </si>
  <si>
    <t>Item types and length of the assessment are appropriate for the subject/grade level.</t>
  </si>
  <si>
    <t xml:space="preserve">Tasks and open-ended questions have rubrics that (1) articulate what students are expected to know and do and (2) differentiate between levels of knowledge/mastery. </t>
  </si>
  <si>
    <t>I approve of this assessment/task and any accompanying rubrics without further change.</t>
  </si>
  <si>
    <t>Please make changes suggested in feedback above and resubmit the assessment/tasks and rubrics.</t>
  </si>
  <si>
    <t xml:space="preserve">Signature of evaluator: </t>
  </si>
  <si>
    <t>Date:</t>
  </si>
  <si>
    <t>Signature of teacher(s):</t>
  </si>
  <si>
    <t>Teacher(s)</t>
  </si>
  <si>
    <t>Subject</t>
  </si>
  <si>
    <t>Grade level</t>
  </si>
  <si>
    <t>What period of instruction will the assessment include? (Note: data should be available for annual summative conference.)</t>
  </si>
  <si>
    <t xml:space="preserve">What style assessment will best measure student growth in relation to my SGO?  </t>
  </si>
  <si>
    <t>What assessments do I have now that I might use?  (Final exam, benchmark tests, portfolio assessments?)</t>
  </si>
  <si>
    <t xml:space="preserve">If I have an assessment that I might use for SGOs, do I need to modify it? </t>
  </si>
  <si>
    <t>If I do not currently have an assessment to use, what resources are available to find or create an assessment?</t>
  </si>
  <si>
    <t>How do I intend to collaborate with my colleagues on assessment development? (see sample)</t>
  </si>
  <si>
    <t>to</t>
  </si>
  <si>
    <t>Check all that apply:</t>
  </si>
  <si>
    <t>Predominantly written/multiple choice</t>
  </si>
  <si>
    <t>Performance-based</t>
  </si>
  <si>
    <t>Portfolio-based</t>
  </si>
  <si>
    <t>Other</t>
  </si>
  <si>
    <t xml:space="preserve">What time is available to me (and my colleagues) to devote to developing an assessment?(SGOs must be approved by your evaluator by October 15, 2014)
</t>
  </si>
  <si>
    <t>I don’t need to modify it.</t>
  </si>
  <si>
    <t>I will modify it by using the approval checklist for school based assessments and associated assessment forms. (link)</t>
  </si>
  <si>
    <t>Check all that apply and add dates and approximate time available</t>
  </si>
  <si>
    <t xml:space="preserve">PLC  </t>
  </si>
  <si>
    <t>Common planning</t>
  </si>
  <si>
    <t xml:space="preserve">Faculty meeting </t>
  </si>
  <si>
    <t xml:space="preserve">PD time  </t>
  </si>
  <si>
    <t>(See workplan as needed)</t>
  </si>
  <si>
    <r>
      <rPr>
        <sz val="14"/>
        <color theme="3" tint="0.39997558519241921"/>
        <rFont val="Calibri"/>
        <family val="2"/>
        <scheme val="minor"/>
      </rPr>
      <t xml:space="preserve">SGO Step 1, Form 5:  Choose or Develop Quality Assessments
</t>
    </r>
    <r>
      <rPr>
        <sz val="14"/>
        <color theme="1"/>
        <rFont val="Calibri"/>
        <family val="2"/>
        <scheme val="minor"/>
      </rPr>
      <t xml:space="preserve">Planning Guide for Choosing or Developing a Quality Assessment </t>
    </r>
    <r>
      <rPr>
        <sz val="14"/>
        <color theme="3" tint="0.39997558519241921"/>
        <rFont val="Calibri"/>
        <family val="2"/>
        <scheme val="minor"/>
      </rPr>
      <t xml:space="preserve">
</t>
    </r>
    <r>
      <rPr>
        <sz val="14"/>
        <color theme="1"/>
        <rFont val="Calibri"/>
        <family val="2"/>
        <scheme val="minor"/>
      </rPr>
      <t xml:space="preserve">
</t>
    </r>
  </si>
  <si>
    <r>
      <rPr>
        <sz val="14"/>
        <color theme="3" tint="0.39997558519241921"/>
        <rFont val="Calibri"/>
        <family val="2"/>
        <scheme val="minor"/>
      </rPr>
      <t xml:space="preserve">SGO Step 2, Form 1: Determine Students’ Starting Points
</t>
    </r>
    <r>
      <rPr>
        <sz val="14"/>
        <color theme="1"/>
        <rFont val="Calibri"/>
        <family val="2"/>
        <scheme val="minor"/>
      </rPr>
      <t>Identify and Approve Starting Points</t>
    </r>
    <r>
      <rPr>
        <sz val="14"/>
        <color theme="3" tint="0.39997558519241921"/>
        <rFont val="Calibri"/>
        <family val="2"/>
        <scheme val="minor"/>
      </rPr>
      <t xml:space="preserve">
</t>
    </r>
    <r>
      <rPr>
        <sz val="14"/>
        <color theme="1"/>
        <rFont val="Calibri"/>
        <family val="2"/>
        <scheme val="minor"/>
      </rPr>
      <t xml:space="preserve">
</t>
    </r>
  </si>
  <si>
    <t xml:space="preserve">Number of Students in Group </t>
  </si>
  <si>
    <t>Level of Preparedness</t>
  </si>
  <si>
    <t xml:space="preserve">Number/Percentage of Students </t>
  </si>
  <si>
    <t xml:space="preserve">Evidence Collected </t>
  </si>
  <si>
    <t xml:space="preserve">High 
(students’ prerequisite skills or knowledge are ahead of where they need to be starting this course) </t>
  </si>
  <si>
    <t>Medium 
(students’ prerequisite skills or knowledge are where they need to be starting this course)</t>
  </si>
  <si>
    <t>Possible Sources of Baseline Data (all do not need to be used)</t>
  </si>
  <si>
    <t>Current Year</t>
  </si>
  <si>
    <t>• Results from beginning of course pre-assessment
• Results from first interim assessment
• Results from components of course work assigned in the first few weeks</t>
  </si>
  <si>
    <t>Prior Year</t>
  </si>
  <si>
    <t>• Results from prior course tests that assess knowledge and skills that are pre-requisite to the current subject/grade (may be in a different subject, if relevant)
• Results from relevant standardized tests</t>
  </si>
  <si>
    <t xml:space="preserve">Teacher has appropriately assessed students’ starting points. </t>
  </si>
  <si>
    <r>
      <rPr>
        <sz val="14"/>
        <color theme="3" tint="0.39997558519241921"/>
        <rFont val="Calibri"/>
        <family val="2"/>
        <scheme val="minor"/>
      </rPr>
      <t xml:space="preserve">SGO Step 3, Form 1 Set Ambitious and Feasible Student Growth Objectives
</t>
    </r>
    <r>
      <rPr>
        <sz val="14"/>
        <color theme="1"/>
        <rFont val="Calibri"/>
        <family val="2"/>
        <scheme val="minor"/>
      </rPr>
      <t>Student Growth Objective Form (Simple)</t>
    </r>
    <r>
      <rPr>
        <sz val="14"/>
        <color theme="3" tint="0.39997558519241921"/>
        <rFont val="Calibri"/>
        <family val="2"/>
        <scheme val="minor"/>
      </rPr>
      <t xml:space="preserve">
</t>
    </r>
    <r>
      <rPr>
        <sz val="14"/>
        <color theme="1"/>
        <rFont val="Calibri"/>
        <family val="2"/>
        <scheme val="minor"/>
      </rPr>
      <t xml:space="preserve">
</t>
    </r>
  </si>
  <si>
    <t>Grade:</t>
  </si>
  <si>
    <t>Number of Students</t>
  </si>
  <si>
    <t>Interval of Instruction</t>
  </si>
  <si>
    <t>Full Year</t>
  </si>
  <si>
    <t>Semester</t>
  </si>
  <si>
    <t>Name of Assessment</t>
  </si>
  <si>
    <t>Rationale for Student Growth Objective
(Please include content standards covered and explanation of assessment method.)</t>
  </si>
  <si>
    <t>SGO Type</t>
  </si>
  <si>
    <t>General</t>
  </si>
  <si>
    <t>Specific</t>
  </si>
  <si>
    <t>Objective Attainment Level Based on Percent and Number of Students Achieving Target Score</t>
  </si>
  <si>
    <t>Exceptional (4)</t>
  </si>
  <si>
    <t>Full (3)</t>
  </si>
  <si>
    <t>Partial (2)</t>
  </si>
  <si>
    <t>Approval of Student Growth Objective</t>
  </si>
  <si>
    <t>Teacher</t>
  </si>
  <si>
    <t>Signature</t>
  </si>
  <si>
    <t>Date Submited</t>
  </si>
  <si>
    <t>Evaluator</t>
  </si>
  <si>
    <t>Date Approved</t>
  </si>
  <si>
    <t>Results of Student Growth Objective 
(State how many students met the final assessment target.)</t>
  </si>
  <si>
    <t>Score</t>
  </si>
  <si>
    <t>Date</t>
  </si>
  <si>
    <r>
      <rPr>
        <sz val="14"/>
        <color theme="3" tint="0.39997558519241921"/>
        <rFont val="Calibri"/>
        <family val="2"/>
        <scheme val="minor"/>
      </rPr>
      <t xml:space="preserve">SGO Step 4, Form 1: Track Progress, Refine Instruction
</t>
    </r>
    <r>
      <rPr>
        <b/>
        <sz val="14"/>
        <rFont val="Calibri"/>
        <family val="2"/>
        <scheme val="minor"/>
      </rPr>
      <t xml:space="preserve">Mid-Course Check-in </t>
    </r>
    <r>
      <rPr>
        <sz val="14"/>
        <color theme="3" tint="0.39997558519241921"/>
        <rFont val="Calibri"/>
        <family val="2"/>
        <scheme val="minor"/>
      </rPr>
      <t xml:space="preserve">
</t>
    </r>
    <r>
      <rPr>
        <sz val="14"/>
        <color theme="1"/>
        <rFont val="Calibri"/>
        <family val="2"/>
        <scheme val="minor"/>
      </rPr>
      <t xml:space="preserve">
</t>
    </r>
  </si>
  <si>
    <t>Grade Level/ Subject/Period</t>
  </si>
  <si>
    <t xml:space="preserve">In preparation for the mid-course progress check-in, please complete this questionnaire and submit it to your evaluator.   You may attach your responses to this form or write them here directly. </t>
  </si>
  <si>
    <t xml:space="preserve"> 1) How are your students progressing toward your student growth objectives? How do you know? </t>
  </si>
  <si>
    <t xml:space="preserve">2) Which students are struggling/exceeding expectations? What are you doing to support them? </t>
  </si>
  <si>
    <t>3) What additional resources do you need to support you as you work to achieve your student growth objectives?</t>
  </si>
  <si>
    <t xml:space="preserve">4) Are there any student attendance issues substantial enough to affect your student growth objectives? </t>
  </si>
  <si>
    <t>Please return this form to your primary evaluator, along with your SGO forms, and any interim student learning data you would like to discuss during the check-in.</t>
  </si>
  <si>
    <t xml:space="preserve">Subject: </t>
  </si>
  <si>
    <t>Grade Level:</t>
  </si>
  <si>
    <r>
      <rPr>
        <sz val="14"/>
        <color theme="3" tint="0.39997558519241921"/>
        <rFont val="Calibri"/>
        <family val="2"/>
        <scheme val="minor"/>
      </rPr>
      <t>SGO Step 1, Form 1: Choose or Develop Quality Assessments</t>
    </r>
    <r>
      <rPr>
        <sz val="14"/>
        <color theme="1"/>
        <rFont val="Calibri"/>
        <family val="2"/>
        <scheme val="minor"/>
      </rPr>
      <t xml:space="preserve">
Pre-Approval Form for School-based Assessment</t>
    </r>
  </si>
  <si>
    <t>Target Score or Range</t>
  </si>
  <si>
    <t xml:space="preserve">Low/Simple
(students’ prerequisite skills or knowledge are below where they should be starting this course) </t>
  </si>
  <si>
    <t xml:space="preserve">Low /Simple
(students’ prerequisite skills or knowledge are below where they should be starting this course) </t>
  </si>
  <si>
    <t>Target Score/Range on Post-Assessment</t>
  </si>
  <si>
    <r>
      <rPr>
        <sz val="14"/>
        <color theme="3" tint="0.39997558519241921"/>
        <rFont val="Calibri"/>
        <family val="2"/>
        <scheme val="minor"/>
      </rPr>
      <t xml:space="preserve">SGO Step 3, Form 2: Set Ambitious and Feasible Student Growth Objectives
</t>
    </r>
    <r>
      <rPr>
        <sz val="14"/>
        <rFont val="Calibri"/>
        <family val="2"/>
        <scheme val="minor"/>
      </rPr>
      <t>Student Growth Objective Form (Tiered)</t>
    </r>
    <r>
      <rPr>
        <sz val="14"/>
        <color theme="3" tint="0.39997558519241921"/>
        <rFont val="Calibri"/>
        <family val="2"/>
        <scheme val="minor"/>
      </rPr>
      <t xml:space="preserve">
</t>
    </r>
    <r>
      <rPr>
        <sz val="14"/>
        <color theme="1"/>
        <rFont val="Calibri"/>
        <family val="2"/>
        <scheme val="minor"/>
      </rPr>
      <t xml:space="preserve">
</t>
    </r>
  </si>
  <si>
    <t xml:space="preserve">Preparedness Group
(e.g. Low, Medium, High)
</t>
  </si>
  <si>
    <t>Number of Students in Each Group (Total)</t>
  </si>
  <si>
    <t xml:space="preserve">Number of Students  Required  for “Full Attainment” </t>
  </si>
  <si>
    <t>Target Score/Range on Post-Assessment (%)</t>
  </si>
  <si>
    <t>Number of Students at Target  Score</t>
  </si>
  <si>
    <t>Objective Attainment Level</t>
  </si>
  <si>
    <r>
      <t xml:space="preserve">SGO Score </t>
    </r>
    <r>
      <rPr>
        <b/>
        <sz val="8"/>
        <color theme="1"/>
        <rFont val="Calibri"/>
        <family val="2"/>
        <scheme val="minor"/>
      </rPr>
      <t>Average</t>
    </r>
    <r>
      <rPr>
        <sz val="8"/>
        <color theme="1"/>
        <rFont val="Calibri"/>
        <family val="2"/>
        <scheme val="minor"/>
      </rPr>
      <t xml:space="preserve"> Objective
Attainment Level
</t>
    </r>
  </si>
  <si>
    <t xml:space="preserve">Baseline Data and Preparedness Groupings
(Please include the number of students in each preparedness group. Summarize the information you used to produce these groupings. Provide any additional student data or background information used in setting your objective.)
</t>
  </si>
  <si>
    <t>Weight (based on no. stu. per group)</t>
  </si>
  <si>
    <t xml:space="preserve">Total SGO Score </t>
  </si>
  <si>
    <t xml:space="preserve">Weighted Score
</t>
  </si>
  <si>
    <r>
      <rPr>
        <sz val="14"/>
        <color theme="3" tint="0.39997558519241921"/>
        <rFont val="Calibri"/>
        <family val="2"/>
        <scheme val="minor"/>
      </rPr>
      <t xml:space="preserve">SGO Step 3, Form 3: Set Ambitious and Feasible Student Growth Objectives
</t>
    </r>
    <r>
      <rPr>
        <sz val="14"/>
        <rFont val="Calibri"/>
        <family val="2"/>
        <scheme val="minor"/>
      </rPr>
      <t>Student Growth Objective Form (Tiered with weighted score)</t>
    </r>
    <r>
      <rPr>
        <sz val="14"/>
        <color theme="3" tint="0.39997558519241921"/>
        <rFont val="Calibri"/>
        <family val="2"/>
        <scheme val="minor"/>
      </rPr>
      <t xml:space="preserve">
</t>
    </r>
    <r>
      <rPr>
        <sz val="14"/>
        <color theme="1"/>
        <rFont val="Calibri"/>
        <family val="2"/>
        <scheme val="minor"/>
      </rPr>
      <t xml:space="preserve">
</t>
    </r>
  </si>
  <si>
    <r>
      <rPr>
        <sz val="14"/>
        <color theme="4" tint="-0.249977111117893"/>
        <rFont val="Calibri"/>
        <family val="2"/>
        <scheme val="minor"/>
      </rPr>
      <t>SGO Step 3, Form 3: Set Ambitious and Feasible Student Growth Objectives</t>
    </r>
    <r>
      <rPr>
        <sz val="14"/>
        <rFont val="Calibri"/>
        <family val="2"/>
        <scheme val="minor"/>
      </rPr>
      <t xml:space="preserve">
Student Growth Objective Form (Tiered with weighted score)
</t>
    </r>
    <r>
      <rPr>
        <sz val="14"/>
        <color theme="3" tint="0.39997558519241921"/>
        <rFont val="Calibri"/>
        <family val="2"/>
        <scheme val="minor"/>
      </rPr>
      <t xml:space="preserve">
</t>
    </r>
    <r>
      <rPr>
        <sz val="14"/>
        <color theme="1"/>
        <rFont val="Calibri"/>
        <family val="2"/>
        <scheme val="minor"/>
      </rPr>
      <t xml:space="preserve">
</t>
    </r>
  </si>
  <si>
    <t>Objective Attainment Based on Percent(and Numbers) of Students Achieving Target Score</t>
  </si>
  <si>
    <t>LOW</t>
  </si>
  <si>
    <t>MAX</t>
  </si>
  <si>
    <t>MIN</t>
  </si>
  <si>
    <t>RANGE</t>
  </si>
  <si>
    <t>RANGE2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</si>
</sst>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8" x14ac:knownFonts="1">
    <font>
      <sz val="11"/>
      <color theme="1"/>
      <name val="Calibri"/>
      <family val="2"/>
      <scheme val="minor"/>
    </font>
    <font>
      <b/>
      <sz val="11"/>
      <color theme="1"/>
      <name val="Calibri"/>
      <family val="2"/>
      <scheme val="minor"/>
    </font>
    <font>
      <sz val="11"/>
      <name val="Calibri"/>
      <family val="2"/>
      <scheme val="minor"/>
    </font>
    <font>
      <b/>
      <sz val="16"/>
      <color theme="1"/>
      <name val="Calibri"/>
      <family val="2"/>
      <scheme val="minor"/>
    </font>
    <font>
      <b/>
      <sz val="18"/>
      <color theme="1"/>
      <name val="Calibri"/>
      <family val="2"/>
      <scheme val="minor"/>
    </font>
    <font>
      <b/>
      <sz val="26"/>
      <color theme="1"/>
      <name val="Calibri"/>
      <family val="2"/>
      <scheme val="minor"/>
    </font>
    <font>
      <b/>
      <sz val="11"/>
      <name val="Calibri"/>
      <family val="2"/>
      <scheme val="minor"/>
    </font>
    <font>
      <u/>
      <sz val="11"/>
      <color theme="10"/>
      <name val="Calibri"/>
      <family val="2"/>
      <scheme val="minor"/>
    </font>
    <font>
      <sz val="14"/>
      <color rgb="FFFF0000"/>
      <name val="Calibri"/>
      <family val="2"/>
      <scheme val="minor"/>
    </font>
    <font>
      <sz val="14"/>
      <color theme="0"/>
      <name val="Calibri"/>
      <family val="2"/>
      <scheme val="minor"/>
    </font>
    <font>
      <b/>
      <sz val="16"/>
      <color theme="0"/>
      <name val="Calibri"/>
      <family val="2"/>
      <scheme val="minor"/>
    </font>
    <font>
      <b/>
      <sz val="11"/>
      <color rgb="FFFF0000"/>
      <name val="Calibri"/>
      <family val="2"/>
      <scheme val="minor"/>
    </font>
    <font>
      <b/>
      <sz val="24"/>
      <color theme="1"/>
      <name val="Calibri"/>
      <family val="2"/>
      <scheme val="minor"/>
    </font>
    <font>
      <sz val="24"/>
      <color theme="1"/>
      <name val="Calibri"/>
      <family val="2"/>
      <scheme val="minor"/>
    </font>
    <font>
      <b/>
      <sz val="11"/>
      <color theme="0"/>
      <name val="Calibri"/>
      <family val="2"/>
      <scheme val="minor"/>
    </font>
    <font>
      <sz val="14"/>
      <color theme="3" tint="0.39997558519241921"/>
      <name val="Calibri"/>
      <family val="2"/>
      <scheme val="minor"/>
    </font>
    <font>
      <sz val="11"/>
      <color rgb="FF000000"/>
      <name val="Wingdings"/>
      <charset val="2"/>
    </font>
    <font>
      <sz val="7"/>
      <color rgb="FF000000"/>
      <name val="Times New Roman"/>
      <family val="1"/>
    </font>
    <font>
      <sz val="11"/>
      <color rgb="FF000000"/>
      <name val="Calibri"/>
      <family val="2"/>
    </font>
    <font>
      <sz val="14"/>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4"/>
      <name val="Calibri"/>
      <family val="2"/>
      <scheme val="minor"/>
    </font>
    <font>
      <sz val="14"/>
      <name val="Calibri"/>
      <family val="2"/>
      <scheme val="minor"/>
    </font>
    <font>
      <sz val="8"/>
      <color theme="1"/>
      <name val="Calibri"/>
      <family val="2"/>
      <scheme val="minor"/>
    </font>
    <font>
      <b/>
      <sz val="8"/>
      <color theme="1"/>
      <name val="Calibri"/>
      <family val="2"/>
      <scheme val="minor"/>
    </font>
    <font>
      <sz val="14"/>
      <color theme="4" tint="-0.249977111117893"/>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FFCC00"/>
        <bgColor indexed="64"/>
      </patternFill>
    </fill>
    <fill>
      <patternFill patternType="solid">
        <fgColor theme="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372">
    <xf numFmtId="0" fontId="0" fillId="0" borderId="0" xfId="0"/>
    <xf numFmtId="9" fontId="0" fillId="2" borderId="1" xfId="0" applyNumberFormat="1" applyFill="1" applyBorder="1" applyAlignment="1" applyProtection="1">
      <alignment horizontal="center"/>
      <protection locked="0"/>
    </xf>
    <xf numFmtId="0" fontId="0" fillId="0" borderId="0" xfId="0" applyProtection="1"/>
    <xf numFmtId="0" fontId="0" fillId="0" borderId="1" xfId="0" applyFill="1" applyBorder="1" applyProtection="1"/>
    <xf numFmtId="10" fontId="0" fillId="0" borderId="1" xfId="0" applyNumberFormat="1" applyBorder="1" applyAlignment="1" applyProtection="1">
      <alignment horizontal="center"/>
    </xf>
    <xf numFmtId="10" fontId="0" fillId="0" borderId="0" xfId="0" applyNumberFormat="1" applyProtection="1"/>
    <xf numFmtId="0" fontId="0" fillId="0" borderId="0" xfId="0" applyFill="1" applyProtection="1"/>
    <xf numFmtId="0" fontId="0" fillId="0" borderId="0" xfId="0"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Protection="1"/>
    <xf numFmtId="0" fontId="0" fillId="0" borderId="1" xfId="0" applyFill="1" applyBorder="1" applyAlignment="1" applyProtection="1">
      <alignment horizontal="center"/>
    </xf>
    <xf numFmtId="0" fontId="0" fillId="0" borderId="0" xfId="0" applyBorder="1" applyProtection="1"/>
    <xf numFmtId="0" fontId="1" fillId="0" borderId="0" xfId="0" applyFont="1" applyProtection="1"/>
    <xf numFmtId="0" fontId="0" fillId="3" borderId="0" xfId="0" applyFill="1" applyProtection="1"/>
    <xf numFmtId="0" fontId="0" fillId="0" borderId="0" xfId="0" applyAlignment="1" applyProtection="1">
      <alignment horizontal="center" vertical="center"/>
    </xf>
    <xf numFmtId="0" fontId="0" fillId="0" borderId="0" xfId="0" applyAlignment="1" applyProtection="1">
      <alignment horizontal="right"/>
    </xf>
    <xf numFmtId="0" fontId="0" fillId="2" borderId="1" xfId="0" applyFill="1" applyBorder="1" applyAlignment="1" applyProtection="1">
      <alignment horizontal="center"/>
      <protection locked="0"/>
    </xf>
    <xf numFmtId="2" fontId="2" fillId="4" borderId="2" xfId="0" applyNumberFormat="1" applyFont="1" applyFill="1" applyBorder="1" applyAlignment="1" applyProtection="1">
      <alignment horizontal="center" vertical="center"/>
    </xf>
    <xf numFmtId="2" fontId="2" fillId="4" borderId="3" xfId="0" applyNumberFormat="1" applyFont="1" applyFill="1" applyBorder="1" applyAlignment="1" applyProtection="1">
      <alignment vertical="center"/>
    </xf>
    <xf numFmtId="0" fontId="1" fillId="3" borderId="0" xfId="0" applyFont="1" applyFill="1" applyAlignment="1" applyProtection="1">
      <alignment horizontal="center" vertical="center"/>
    </xf>
    <xf numFmtId="0" fontId="1" fillId="3" borderId="0" xfId="0" applyFont="1" applyFill="1" applyBorder="1" applyAlignment="1" applyProtection="1">
      <alignment horizont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164" fontId="0" fillId="0" borderId="0" xfId="0" applyNumberFormat="1" applyProtection="1"/>
    <xf numFmtId="9" fontId="0" fillId="0" borderId="1" xfId="0" applyNumberFormat="1" applyFill="1" applyBorder="1" applyAlignment="1" applyProtection="1">
      <alignment horizontal="center"/>
    </xf>
    <xf numFmtId="0" fontId="1" fillId="0" borderId="0" xfId="0" applyFont="1" applyFill="1" applyAlignment="1" applyProtection="1">
      <alignment horizontal="right"/>
    </xf>
    <xf numFmtId="0" fontId="0" fillId="3" borderId="1" xfId="0" applyFill="1" applyBorder="1" applyAlignment="1" applyProtection="1">
      <alignment horizontal="center"/>
    </xf>
    <xf numFmtId="0" fontId="0" fillId="0" borderId="0" xfId="0" applyAlignment="1" applyProtection="1">
      <alignment horizontal="center"/>
    </xf>
    <xf numFmtId="0" fontId="0" fillId="0" borderId="3" xfId="0" applyBorder="1" applyAlignment="1" applyProtection="1">
      <alignment vertical="center"/>
    </xf>
    <xf numFmtId="0" fontId="1" fillId="0" borderId="0" xfId="0" applyFont="1" applyAlignment="1" applyProtection="1">
      <alignment horizontal="right"/>
    </xf>
    <xf numFmtId="0" fontId="0" fillId="0" borderId="0" xfId="0" applyAlignment="1" applyProtection="1"/>
    <xf numFmtId="10" fontId="0" fillId="0" borderId="0" xfId="0" applyNumberFormat="1" applyFont="1" applyProtection="1"/>
    <xf numFmtId="0" fontId="0" fillId="0" borderId="0" xfId="0" applyFont="1" applyProtection="1"/>
    <xf numFmtId="0" fontId="0" fillId="0" borderId="0" xfId="0" applyFont="1" applyFill="1" applyProtection="1"/>
    <xf numFmtId="10" fontId="0" fillId="0" borderId="0" xfId="0" applyNumberFormat="1" applyFont="1" applyFill="1" applyProtection="1"/>
    <xf numFmtId="0" fontId="1" fillId="0" borderId="0" xfId="0" applyFont="1" applyAlignment="1" applyProtection="1"/>
    <xf numFmtId="0" fontId="0" fillId="0" borderId="0" xfId="0" quotePrefix="1" applyProtection="1"/>
    <xf numFmtId="0" fontId="7" fillId="5" borderId="0" xfId="1" applyFill="1" applyAlignment="1" applyProtection="1">
      <alignment horizontal="center" vertical="center"/>
    </xf>
    <xf numFmtId="9" fontId="0" fillId="0" borderId="1" xfId="0" applyNumberFormat="1" applyBorder="1" applyAlignment="1" applyProtection="1">
      <alignment horizontal="center"/>
    </xf>
    <xf numFmtId="0" fontId="0" fillId="0" borderId="1" xfId="0" applyBorder="1" applyAlignment="1" applyProtection="1">
      <alignment horizontal="center"/>
    </xf>
    <xf numFmtId="0" fontId="1" fillId="3" borderId="0" xfId="0" applyFont="1" applyFill="1" applyAlignment="1" applyProtection="1">
      <alignment horizontal="center"/>
    </xf>
    <xf numFmtId="0" fontId="0" fillId="7" borderId="0" xfId="0" applyFill="1" applyAlignment="1" applyProtection="1">
      <alignment horizontal="center"/>
    </xf>
    <xf numFmtId="0" fontId="1" fillId="0" borderId="0" xfId="0" applyFont="1" applyBorder="1" applyAlignment="1" applyProtection="1">
      <alignment horizontal="center" vertical="center"/>
    </xf>
    <xf numFmtId="0" fontId="0" fillId="5" borderId="0" xfId="0" applyFill="1" applyProtection="1"/>
    <xf numFmtId="9" fontId="0" fillId="3" borderId="1" xfId="0" applyNumberFormat="1" applyFill="1" applyBorder="1" applyAlignment="1" applyProtection="1">
      <alignment horizontal="center"/>
    </xf>
    <xf numFmtId="0" fontId="7" fillId="5" borderId="0" xfId="1" applyFill="1" applyAlignment="1" applyProtection="1">
      <alignment horizontal="center" vertical="center"/>
      <protection locked="0"/>
    </xf>
    <xf numFmtId="0" fontId="2" fillId="0" borderId="0" xfId="0" applyFont="1" applyFill="1" applyProtection="1"/>
    <xf numFmtId="0" fontId="2" fillId="0" borderId="0" xfId="0" applyFont="1" applyFill="1" applyBorder="1" applyAlignment="1" applyProtection="1"/>
    <xf numFmtId="0" fontId="2" fillId="0" borderId="0" xfId="0" applyFont="1" applyFill="1" applyBorder="1" applyProtection="1"/>
    <xf numFmtId="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 fillId="0" borderId="0" xfId="0" applyFont="1" applyFill="1" applyProtection="1"/>
    <xf numFmtId="0" fontId="0" fillId="0" borderId="0" xfId="0" applyFill="1" applyAlignment="1" applyProtection="1">
      <alignment horizontal="center" vertical="center"/>
    </xf>
    <xf numFmtId="14" fontId="0" fillId="2" borderId="1" xfId="0" applyNumberFormat="1" applyFill="1" applyBorder="1" applyAlignment="1" applyProtection="1">
      <alignment horizontal="center"/>
      <protection locked="0"/>
    </xf>
    <xf numFmtId="0" fontId="1" fillId="0" borderId="0" xfId="0" applyFont="1" applyAlignment="1" applyProtection="1">
      <alignment horizontal="center" vertical="center"/>
    </xf>
    <xf numFmtId="0" fontId="0" fillId="0" borderId="0" xfId="0" applyBorder="1" applyAlignment="1" applyProtection="1">
      <alignment horizontal="center" vertical="center"/>
    </xf>
    <xf numFmtId="0" fontId="0" fillId="2" borderId="1" xfId="0" applyNumberFormat="1" applyFill="1" applyBorder="1" applyAlignment="1" applyProtection="1">
      <alignment horizontal="center"/>
      <protection locked="0"/>
    </xf>
    <xf numFmtId="0" fontId="0" fillId="0" borderId="0" xfId="0" applyAlignment="1">
      <alignment horizontal="center"/>
    </xf>
    <xf numFmtId="9" fontId="0" fillId="0" borderId="0" xfId="0" applyNumberFormat="1" applyAlignment="1">
      <alignment horizontal="center"/>
    </xf>
    <xf numFmtId="0" fontId="0" fillId="0" borderId="0" xfId="0" applyFont="1" applyAlignment="1" applyProtection="1">
      <alignment horizontal="center"/>
    </xf>
    <xf numFmtId="0" fontId="0"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Alignment="1" applyProtection="1">
      <alignment horizontal="center"/>
    </xf>
    <xf numFmtId="0" fontId="0" fillId="2" borderId="1" xfId="0" applyNumberFormat="1" applyFill="1" applyBorder="1" applyAlignment="1" applyProtection="1">
      <alignment horizontal="center" wrapText="1"/>
      <protection locked="0"/>
    </xf>
    <xf numFmtId="0" fontId="0" fillId="0" borderId="0" xfId="0" applyFill="1"/>
    <xf numFmtId="0" fontId="0" fillId="0" borderId="0" xfId="0" applyAlignment="1">
      <alignment horizontal="center" vertical="center" wrapText="1"/>
    </xf>
    <xf numFmtId="0" fontId="1" fillId="0" borderId="0" xfId="0" applyFont="1" applyFill="1" applyBorder="1" applyAlignment="1">
      <alignment horizontal="center"/>
    </xf>
    <xf numFmtId="0" fontId="1" fillId="0" borderId="0" xfId="0" applyFont="1" applyAlignment="1">
      <alignment horizontal="center"/>
    </xf>
    <xf numFmtId="0" fontId="0" fillId="0" borderId="26" xfId="0" applyBorder="1" applyAlignment="1">
      <alignment horizontal="center"/>
    </xf>
    <xf numFmtId="0" fontId="0" fillId="0" borderId="0" xfId="0" applyFill="1" applyBorder="1" applyAlignment="1">
      <alignment horizontal="center"/>
    </xf>
    <xf numFmtId="0" fontId="13" fillId="0" borderId="0" xfId="0" applyFont="1" applyFill="1" applyAlignment="1"/>
    <xf numFmtId="0" fontId="13" fillId="0" borderId="0" xfId="0" applyFont="1" applyFill="1"/>
    <xf numFmtId="0" fontId="13" fillId="0" borderId="0" xfId="0" applyFont="1"/>
    <xf numFmtId="0" fontId="0" fillId="0" borderId="0" xfId="0" applyAlignment="1">
      <alignment horizontal="left"/>
    </xf>
    <xf numFmtId="0" fontId="0" fillId="0" borderId="0" xfId="0" applyAlignment="1">
      <alignment vertical="top" wrapText="1"/>
    </xf>
    <xf numFmtId="0" fontId="0" fillId="0" borderId="0" xfId="0" applyAlignment="1">
      <alignment horizontal="left" vertical="center"/>
    </xf>
    <xf numFmtId="0" fontId="16" fillId="0" borderId="0" xfId="0" applyFont="1" applyAlignment="1">
      <alignment horizontal="left" vertical="center" indent="5"/>
    </xf>
    <xf numFmtId="0" fontId="0" fillId="0" borderId="0" xfId="0" applyBorder="1"/>
    <xf numFmtId="0" fontId="0" fillId="0" borderId="0" xfId="0" applyAlignment="1">
      <alignment wrapText="1"/>
    </xf>
    <xf numFmtId="0" fontId="0" fillId="0" borderId="1" xfId="0" applyBorder="1" applyAlignment="1"/>
    <xf numFmtId="0" fontId="20" fillId="0" borderId="0" xfId="0" applyFont="1" applyAlignment="1">
      <alignment horizontal="left"/>
    </xf>
    <xf numFmtId="0" fontId="0" fillId="0" borderId="24" xfId="0" applyBorder="1" applyAlignment="1">
      <alignment vertical="center"/>
    </xf>
    <xf numFmtId="0" fontId="0" fillId="0" borderId="29" xfId="0" applyBorder="1" applyAlignment="1">
      <alignment horizontal="center" vertical="center"/>
    </xf>
    <xf numFmtId="0" fontId="0" fillId="0" borderId="24" xfId="0" applyBorder="1" applyAlignment="1">
      <alignment horizontal="right" vertical="center"/>
    </xf>
    <xf numFmtId="0" fontId="0" fillId="0" borderId="0" xfId="0" applyFont="1" applyFill="1" applyBorder="1" applyAlignment="1"/>
    <xf numFmtId="0" fontId="0" fillId="0" borderId="0" xfId="0" applyAlignment="1">
      <alignment horizontal="left" vertical="center"/>
    </xf>
    <xf numFmtId="0" fontId="0" fillId="0" borderId="24" xfId="0" applyFill="1" applyBorder="1" applyAlignment="1"/>
    <xf numFmtId="0" fontId="0" fillId="0" borderId="25" xfId="0" applyFill="1" applyBorder="1" applyAlignment="1"/>
    <xf numFmtId="0" fontId="0" fillId="0" borderId="1" xfId="0" applyFill="1" applyBorder="1" applyAlignment="1"/>
    <xf numFmtId="0" fontId="0" fillId="0" borderId="1" xfId="0" applyBorder="1" applyAlignment="1">
      <alignment vertical="center"/>
    </xf>
    <xf numFmtId="0" fontId="0" fillId="0" borderId="0" xfId="0" applyAlignment="1">
      <alignment horizontal="left" vertical="top"/>
    </xf>
    <xf numFmtId="0" fontId="0" fillId="0" borderId="0" xfId="0" applyBorder="1" applyAlignment="1">
      <alignment horizontal="left" vertical="top"/>
    </xf>
    <xf numFmtId="0" fontId="0" fillId="0" borderId="0" xfId="0" applyAlignment="1">
      <alignment horizontal="left" vertical="top"/>
    </xf>
    <xf numFmtId="0" fontId="0" fillId="0" borderId="0" xfId="0" applyAlignment="1">
      <alignment horizontal="left" vertical="center"/>
    </xf>
    <xf numFmtId="0" fontId="20" fillId="0" borderId="0" xfId="0" applyFont="1" applyAlignment="1">
      <alignment horizontal="left"/>
    </xf>
    <xf numFmtId="0" fontId="0" fillId="0" borderId="0" xfId="0" applyFill="1" applyAlignment="1">
      <alignment horizontal="left"/>
    </xf>
    <xf numFmtId="0" fontId="0" fillId="2" borderId="1" xfId="0" applyFill="1" applyBorder="1" applyAlignment="1" applyProtection="1">
      <alignment horizontal="center" vertical="center"/>
      <protection locked="0"/>
    </xf>
    <xf numFmtId="0" fontId="20" fillId="0" borderId="0" xfId="0" applyFont="1" applyAlignment="1">
      <alignment horizontal="left"/>
    </xf>
    <xf numFmtId="0" fontId="0" fillId="2" borderId="1" xfId="0" applyFill="1" applyBorder="1" applyAlignment="1" applyProtection="1">
      <alignment horizontal="center" vertical="center"/>
      <protection locked="0"/>
    </xf>
    <xf numFmtId="0" fontId="0" fillId="0" borderId="0" xfId="0" applyAlignment="1">
      <alignment horizontal="left" vertical="center"/>
    </xf>
    <xf numFmtId="0" fontId="0" fillId="0" borderId="0" xfId="0" applyAlignment="1">
      <alignment horizontal="left" vertical="top"/>
    </xf>
    <xf numFmtId="0" fontId="1" fillId="2" borderId="1" xfId="0" applyFont="1" applyFill="1" applyBorder="1" applyAlignment="1" applyProtection="1">
      <alignment horizontal="center" vertical="center"/>
      <protection locked="0"/>
    </xf>
    <xf numFmtId="0" fontId="0" fillId="0" borderId="27" xfId="0" applyFill="1" applyBorder="1" applyAlignment="1">
      <alignment horizontal="center"/>
    </xf>
    <xf numFmtId="0" fontId="25" fillId="0" borderId="1" xfId="0" applyFont="1" applyBorder="1" applyAlignment="1">
      <alignment horizontal="center" vertical="center" wrapText="1"/>
    </xf>
    <xf numFmtId="0" fontId="25" fillId="0" borderId="1" xfId="0" applyFont="1" applyFill="1" applyBorder="1" applyAlignment="1">
      <alignment vertical="center" wrapText="1"/>
    </xf>
    <xf numFmtId="0" fontId="0" fillId="0" borderId="1" xfId="0" applyBorder="1" applyAlignment="1" applyProtection="1">
      <alignment horizontal="center"/>
    </xf>
    <xf numFmtId="0" fontId="0" fillId="0" borderId="1" xfId="0" applyFill="1" applyBorder="1" applyAlignment="1" applyProtection="1">
      <alignment horizontal="center"/>
    </xf>
    <xf numFmtId="0" fontId="0" fillId="0" borderId="1" xfId="0" applyFill="1" applyBorder="1" applyAlignment="1" applyProtection="1">
      <alignment horizontal="center"/>
    </xf>
    <xf numFmtId="0" fontId="0" fillId="0" borderId="1" xfId="0" applyFill="1" applyBorder="1" applyAlignment="1" applyProtection="1">
      <alignment horizontal="center"/>
    </xf>
    <xf numFmtId="0" fontId="0" fillId="0" borderId="1" xfId="0" applyFill="1" applyBorder="1" applyAlignment="1" applyProtection="1">
      <alignment horizontal="center"/>
    </xf>
    <xf numFmtId="0" fontId="0" fillId="0" borderId="1" xfId="0" applyFill="1" applyBorder="1" applyAlignment="1" applyProtection="1">
      <alignment horizontal="center"/>
    </xf>
    <xf numFmtId="0" fontId="0" fillId="0" borderId="1" xfId="0" applyFill="1" applyBorder="1" applyAlignment="1" applyProtection="1">
      <alignment horizontal="center"/>
    </xf>
    <xf numFmtId="0" fontId="0" fillId="0" borderId="0" xfId="0" applyAlignment="1">
      <alignment horizontal="center"/>
    </xf>
    <xf numFmtId="0" fontId="0" fillId="0" borderId="1" xfId="0" applyBorder="1" applyAlignment="1">
      <alignment horizontal="center"/>
    </xf>
    <xf numFmtId="0" fontId="0" fillId="0" borderId="0" xfId="0"/>
    <xf numFmtId="0" fontId="0" fillId="0" borderId="0" xfId="0"/>
    <xf numFmtId="0" fontId="0" fillId="0" borderId="1" xfId="0" applyBorder="1" applyAlignment="1" applyProtection="1">
      <alignment horizontal="center"/>
    </xf>
    <xf numFmtId="0" fontId="0" fillId="0" borderId="1" xfId="0" applyFill="1" applyBorder="1" applyAlignment="1" applyProtection="1">
      <alignment horizontal="center"/>
    </xf>
    <xf numFmtId="0" fontId="1" fillId="3" borderId="0" xfId="0" applyFont="1" applyFill="1" applyAlignment="1" applyProtection="1">
      <alignment horizontal="center"/>
    </xf>
    <xf numFmtId="0" fontId="0" fillId="0" borderId="0" xfId="0"/>
    <xf numFmtId="0" fontId="0" fillId="0" borderId="1" xfId="0" applyFill="1" applyBorder="1" applyAlignment="1" applyProtection="1">
      <alignment horizontal="center"/>
    </xf>
    <xf numFmtId="0" fontId="0" fillId="0" borderId="0" xfId="0"/>
    <xf numFmtId="0" fontId="0" fillId="0" borderId="1" xfId="0" applyFill="1" applyBorder="1" applyAlignment="1">
      <alignment horizontal="center" vertical="center"/>
    </xf>
    <xf numFmtId="0" fontId="0" fillId="0" borderId="1" xfId="0" applyBorder="1" applyAlignment="1">
      <alignment horizontal="center" vertical="center"/>
    </xf>
    <xf numFmtId="0" fontId="25" fillId="0" borderId="1" xfId="0" applyFont="1" applyFill="1" applyBorder="1" applyAlignment="1">
      <alignment horizontal="center" vertical="center" wrapText="1"/>
    </xf>
    <xf numFmtId="10" fontId="0" fillId="0" borderId="0" xfId="0" applyNumberFormat="1" applyAlignment="1" applyProtection="1">
      <alignment horizontal="center"/>
    </xf>
    <xf numFmtId="0" fontId="0" fillId="0" borderId="0" xfId="0" applyNumberFormat="1" applyAlignment="1" applyProtection="1">
      <alignment horizontal="center"/>
    </xf>
    <xf numFmtId="9" fontId="0" fillId="0" borderId="1" xfId="0" applyNumberFormat="1" applyFill="1" applyBorder="1" applyAlignment="1">
      <alignment horizontal="center" vertical="center"/>
    </xf>
    <xf numFmtId="2"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0" fillId="0" borderId="0" xfId="0"/>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right" vertical="center"/>
    </xf>
    <xf numFmtId="2" fontId="0" fillId="0" borderId="1" xfId="0" applyNumberFormat="1" applyBorder="1" applyAlignment="1">
      <alignment horizontal="center" vertical="center"/>
    </xf>
    <xf numFmtId="9" fontId="0" fillId="2" borderId="1" xfId="0" applyNumberForma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Alignment="1" applyProtection="1">
      <alignment horizontal="center"/>
    </xf>
    <xf numFmtId="0" fontId="2" fillId="2" borderId="22" xfId="0" applyFont="1" applyFill="1" applyBorder="1" applyAlignment="1" applyProtection="1">
      <alignment horizontal="center"/>
      <protection locked="0"/>
    </xf>
    <xf numFmtId="0" fontId="2" fillId="2" borderId="16" xfId="0" applyFont="1" applyFill="1" applyBorder="1" applyAlignment="1" applyProtection="1">
      <alignment horizontal="center"/>
      <protection locked="0"/>
    </xf>
    <xf numFmtId="0" fontId="2" fillId="2" borderId="23" xfId="0" applyFont="1" applyFill="1" applyBorder="1" applyAlignment="1" applyProtection="1">
      <alignment horizontal="center"/>
      <protection locked="0"/>
    </xf>
    <xf numFmtId="0" fontId="2" fillId="2" borderId="19" xfId="0" applyFont="1" applyFill="1" applyBorder="1" applyAlignment="1" applyProtection="1">
      <alignment horizontal="center"/>
      <protection locked="0"/>
    </xf>
    <xf numFmtId="0" fontId="2" fillId="2" borderId="20" xfId="0" applyFont="1" applyFill="1" applyBorder="1" applyAlignment="1" applyProtection="1">
      <alignment horizontal="center"/>
      <protection locked="0"/>
    </xf>
    <xf numFmtId="0" fontId="2" fillId="2" borderId="21" xfId="0" applyFont="1" applyFill="1" applyBorder="1" applyAlignment="1" applyProtection="1">
      <alignment horizontal="center"/>
      <protection locked="0"/>
    </xf>
    <xf numFmtId="0" fontId="2" fillId="2" borderId="17" xfId="0" applyFont="1" applyFill="1" applyBorder="1" applyAlignment="1" applyProtection="1">
      <alignment horizontal="center"/>
      <protection locked="0"/>
    </xf>
    <xf numFmtId="0" fontId="2" fillId="2" borderId="15" xfId="0" applyFont="1" applyFill="1" applyBorder="1" applyAlignment="1" applyProtection="1">
      <alignment horizontal="center"/>
      <protection locked="0"/>
    </xf>
    <xf numFmtId="0" fontId="2" fillId="2" borderId="18" xfId="0" applyFont="1" applyFill="1" applyBorder="1" applyAlignment="1" applyProtection="1">
      <alignment horizontal="center"/>
      <protection locked="0"/>
    </xf>
    <xf numFmtId="0" fontId="9" fillId="8" borderId="0" xfId="0" applyFont="1" applyFill="1" applyAlignment="1" applyProtection="1">
      <alignment horizontal="center" wrapText="1"/>
    </xf>
    <xf numFmtId="0" fontId="1" fillId="6" borderId="7" xfId="0" applyFont="1" applyFill="1" applyBorder="1" applyAlignment="1" applyProtection="1">
      <alignment horizontal="center"/>
    </xf>
    <xf numFmtId="0" fontId="1" fillId="6" borderId="8" xfId="0" applyFont="1" applyFill="1" applyBorder="1" applyAlignment="1" applyProtection="1">
      <alignment horizontal="center"/>
    </xf>
    <xf numFmtId="0" fontId="1" fillId="6" borderId="9" xfId="0" applyFont="1" applyFill="1" applyBorder="1" applyAlignment="1" applyProtection="1">
      <alignment horizontal="center"/>
    </xf>
    <xf numFmtId="9" fontId="1" fillId="0" borderId="7" xfId="0" applyNumberFormat="1" applyFont="1" applyFill="1" applyBorder="1" applyAlignment="1" applyProtection="1">
      <alignment horizontal="center"/>
    </xf>
    <xf numFmtId="0" fontId="1" fillId="0" borderId="8" xfId="0" applyFont="1" applyFill="1" applyBorder="1" applyAlignment="1" applyProtection="1">
      <alignment horizontal="center"/>
    </xf>
    <xf numFmtId="0" fontId="1" fillId="0" borderId="9" xfId="0" applyFont="1" applyFill="1" applyBorder="1" applyAlignment="1" applyProtection="1">
      <alignment horizontal="center"/>
    </xf>
    <xf numFmtId="2" fontId="5" fillId="0" borderId="10" xfId="0" applyNumberFormat="1" applyFont="1" applyFill="1" applyBorder="1" applyAlignment="1" applyProtection="1">
      <alignment horizontal="center" vertical="center"/>
    </xf>
    <xf numFmtId="2" fontId="5" fillId="0" borderId="11" xfId="0" applyNumberFormat="1" applyFont="1" applyFill="1" applyBorder="1" applyAlignment="1" applyProtection="1">
      <alignment horizontal="center" vertical="center"/>
    </xf>
    <xf numFmtId="2" fontId="5" fillId="0" borderId="4" xfId="0" applyNumberFormat="1" applyFont="1" applyFill="1" applyBorder="1" applyAlignment="1" applyProtection="1">
      <alignment horizontal="center" vertical="center"/>
    </xf>
    <xf numFmtId="2" fontId="5" fillId="0" borderId="12" xfId="0" applyNumberFormat="1" applyFont="1" applyFill="1" applyBorder="1" applyAlignment="1" applyProtection="1">
      <alignment horizontal="center" vertical="center"/>
    </xf>
    <xf numFmtId="2" fontId="5" fillId="0" borderId="0" xfId="0" applyNumberFormat="1" applyFont="1" applyFill="1" applyBorder="1" applyAlignment="1" applyProtection="1">
      <alignment horizontal="center" vertical="center"/>
    </xf>
    <xf numFmtId="2" fontId="5" fillId="0" borderId="5" xfId="0" applyNumberFormat="1" applyFont="1" applyFill="1" applyBorder="1" applyAlignment="1" applyProtection="1">
      <alignment horizontal="center" vertical="center"/>
    </xf>
    <xf numFmtId="2" fontId="5" fillId="0" borderId="13" xfId="0" applyNumberFormat="1" applyFont="1" applyFill="1" applyBorder="1" applyAlignment="1" applyProtection="1">
      <alignment horizontal="center" vertical="center"/>
    </xf>
    <xf numFmtId="2" fontId="5" fillId="0" borderId="14" xfId="0" applyNumberFormat="1" applyFont="1" applyFill="1" applyBorder="1" applyAlignment="1" applyProtection="1">
      <alignment horizontal="center" vertical="center"/>
    </xf>
    <xf numFmtId="2" fontId="5" fillId="0" borderId="6" xfId="0" applyNumberFormat="1" applyFont="1" applyFill="1" applyBorder="1" applyAlignment="1" applyProtection="1">
      <alignment horizontal="center" vertical="center"/>
    </xf>
    <xf numFmtId="2" fontId="3" fillId="2" borderId="10" xfId="0" applyNumberFormat="1"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9" fontId="1" fillId="0" borderId="0" xfId="0" applyNumberFormat="1" applyFont="1" applyFill="1" applyBorder="1" applyAlignment="1" applyProtection="1">
      <alignment horizontal="center" wrapText="1"/>
    </xf>
    <xf numFmtId="9" fontId="1" fillId="0" borderId="14" xfId="0" applyNumberFormat="1" applyFont="1" applyFill="1" applyBorder="1" applyAlignment="1" applyProtection="1">
      <alignment horizontal="center" wrapText="1"/>
    </xf>
    <xf numFmtId="0" fontId="0" fillId="0" borderId="1" xfId="0" applyBorder="1" applyAlignment="1" applyProtection="1">
      <alignment horizontal="center"/>
    </xf>
    <xf numFmtId="0" fontId="8" fillId="3" borderId="0" xfId="0" applyFont="1" applyFill="1" applyAlignment="1" applyProtection="1">
      <alignment horizontal="center"/>
    </xf>
    <xf numFmtId="0" fontId="0" fillId="0" borderId="1" xfId="0" applyFill="1" applyBorder="1" applyAlignment="1" applyProtection="1">
      <alignment horizontal="center"/>
    </xf>
    <xf numFmtId="0" fontId="4" fillId="6" borderId="0" xfId="0" applyFont="1" applyFill="1" applyAlignment="1" applyProtection="1">
      <alignment horizontal="center" vertical="center"/>
    </xf>
    <xf numFmtId="0" fontId="3" fillId="6" borderId="0" xfId="0" applyFont="1" applyFill="1" applyAlignment="1" applyProtection="1">
      <alignment horizontal="center"/>
    </xf>
    <xf numFmtId="0" fontId="10" fillId="5" borderId="0" xfId="0" applyFont="1" applyFill="1" applyAlignment="1" applyProtection="1">
      <alignment horizontal="center" vertical="center"/>
    </xf>
    <xf numFmtId="0" fontId="1" fillId="7"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1" fillId="3" borderId="0" xfId="0" applyFont="1" applyFill="1" applyAlignment="1" applyProtection="1">
      <alignment horizontal="center"/>
    </xf>
    <xf numFmtId="9" fontId="0" fillId="0" borderId="1" xfId="0" applyNumberFormat="1" applyBorder="1" applyAlignment="1" applyProtection="1">
      <alignment horizontal="center" vertical="center"/>
    </xf>
    <xf numFmtId="0" fontId="1" fillId="4" borderId="24" xfId="0" applyFont="1" applyFill="1" applyBorder="1" applyAlignment="1" applyProtection="1">
      <alignment horizontal="center"/>
    </xf>
    <xf numFmtId="0" fontId="1" fillId="4" borderId="25" xfId="0" applyFont="1" applyFill="1" applyBorder="1" applyAlignment="1" applyProtection="1">
      <alignment horizontal="center"/>
    </xf>
    <xf numFmtId="0" fontId="4" fillId="3" borderId="0" xfId="0" applyFont="1" applyFill="1" applyAlignment="1" applyProtection="1">
      <alignment horizontal="center"/>
    </xf>
    <xf numFmtId="0" fontId="0" fillId="0" borderId="0" xfId="0" applyAlignment="1">
      <alignment horizontal="center"/>
    </xf>
    <xf numFmtId="0" fontId="0" fillId="0" borderId="0" xfId="0"/>
    <xf numFmtId="0" fontId="0" fillId="0" borderId="0" xfId="0" applyBorder="1" applyAlignment="1">
      <alignment horizontal="center"/>
    </xf>
    <xf numFmtId="0" fontId="1" fillId="4" borderId="7" xfId="0" applyFont="1" applyFill="1" applyBorder="1" applyAlignment="1">
      <alignment horizontal="center"/>
    </xf>
    <xf numFmtId="0" fontId="1" fillId="4" borderId="8" xfId="0" applyFont="1" applyFill="1" applyBorder="1" applyAlignment="1">
      <alignment horizontal="center"/>
    </xf>
    <xf numFmtId="0" fontId="1" fillId="4" borderId="9" xfId="0" applyFont="1" applyFill="1" applyBorder="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0" borderId="11" xfId="0" applyBorder="1" applyAlignment="1">
      <alignment horizontal="center"/>
    </xf>
    <xf numFmtId="0" fontId="0" fillId="0" borderId="0" xfId="0" applyAlignment="1">
      <alignment horizontal="center" wrapText="1"/>
    </xf>
    <xf numFmtId="0" fontId="12" fillId="4" borderId="7" xfId="0" applyFont="1" applyFill="1" applyBorder="1" applyAlignment="1">
      <alignment horizontal="center"/>
    </xf>
    <xf numFmtId="0" fontId="12" fillId="4" borderId="8" xfId="0" applyFont="1" applyFill="1" applyBorder="1" applyAlignment="1">
      <alignment horizontal="center"/>
    </xf>
    <xf numFmtId="0" fontId="12" fillId="4" borderId="9" xfId="0" applyFont="1" applyFill="1" applyBorder="1" applyAlignment="1">
      <alignment horizontal="center"/>
    </xf>
    <xf numFmtId="0" fontId="0" fillId="0" borderId="7" xfId="0" applyBorder="1" applyAlignment="1" applyProtection="1">
      <alignment horizontal="center"/>
    </xf>
    <xf numFmtId="0" fontId="0" fillId="0" borderId="9" xfId="0" applyBorder="1" applyAlignment="1" applyProtection="1">
      <alignment horizontal="center"/>
    </xf>
    <xf numFmtId="0" fontId="0" fillId="0" borderId="0" xfId="0" applyAlignment="1">
      <alignment horizontal="left" vertical="top"/>
    </xf>
    <xf numFmtId="0" fontId="0" fillId="2" borderId="24"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0" borderId="0" xfId="0" applyAlignment="1">
      <alignment horizontal="left" vertical="top" wrapText="1"/>
    </xf>
    <xf numFmtId="0" fontId="19" fillId="0" borderId="27" xfId="0" applyFont="1" applyBorder="1" applyAlignment="1">
      <alignment horizontal="left" vertical="top" wrapText="1"/>
    </xf>
    <xf numFmtId="0" fontId="19" fillId="0" borderId="27" xfId="0" applyFont="1" applyBorder="1" applyAlignment="1">
      <alignment horizontal="left" vertical="top"/>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Fill="1" applyBorder="1" applyAlignment="1">
      <alignment horizontal="center"/>
    </xf>
    <xf numFmtId="0" fontId="1" fillId="0" borderId="0" xfId="0" applyFont="1" applyAlignment="1">
      <alignment horizontal="left" vertical="top" wrapText="1"/>
    </xf>
    <xf numFmtId="0" fontId="0" fillId="0" borderId="1" xfId="0" applyFill="1" applyBorder="1" applyAlignment="1">
      <alignment horizontal="center"/>
    </xf>
    <xf numFmtId="0" fontId="0" fillId="2" borderId="1" xfId="0" applyFill="1" applyBorder="1" applyAlignment="1">
      <alignment horizontal="center"/>
    </xf>
    <xf numFmtId="0" fontId="0" fillId="0" borderId="1" xfId="0" applyBorder="1" applyAlignment="1">
      <alignment horizontal="center"/>
    </xf>
    <xf numFmtId="0" fontId="0" fillId="2" borderId="1" xfId="0" applyFill="1" applyBorder="1" applyAlignment="1" applyProtection="1">
      <alignment horizontal="center" wrapText="1"/>
      <protection locked="0"/>
    </xf>
    <xf numFmtId="0" fontId="0" fillId="9" borderId="1" xfId="0" applyFill="1" applyBorder="1" applyAlignment="1">
      <alignment horizontal="left" vertical="center" wrapText="1"/>
    </xf>
    <xf numFmtId="0" fontId="0" fillId="9" borderId="1" xfId="0" applyFill="1" applyBorder="1" applyAlignment="1">
      <alignment horizontal="left" vertical="center"/>
    </xf>
    <xf numFmtId="0" fontId="0" fillId="0" borderId="1" xfId="0" applyFill="1" applyBorder="1" applyAlignment="1">
      <alignment horizontal="center" vertical="center"/>
    </xf>
    <xf numFmtId="0" fontId="0" fillId="0" borderId="29" xfId="0" applyFont="1" applyFill="1" applyBorder="1" applyAlignment="1">
      <alignment horizontal="center" vertical="center"/>
    </xf>
    <xf numFmtId="0" fontId="0" fillId="0" borderId="27" xfId="0" applyFont="1" applyFill="1" applyBorder="1" applyAlignment="1">
      <alignment horizontal="center" vertical="center"/>
    </xf>
    <xf numFmtId="0" fontId="0" fillId="2" borderId="27" xfId="0" applyFont="1" applyFill="1" applyBorder="1" applyAlignment="1" applyProtection="1">
      <alignment horizontal="center"/>
      <protection locked="0"/>
    </xf>
    <xf numFmtId="14" fontId="0" fillId="2" borderId="1" xfId="0" applyNumberFormat="1" applyFont="1" applyFill="1" applyBorder="1" applyAlignment="1" applyProtection="1">
      <alignment horizontal="center" vertical="center" wrapText="1"/>
      <protection locked="0"/>
    </xf>
    <xf numFmtId="0" fontId="0" fillId="3" borderId="1" xfId="0" applyFill="1" applyBorder="1" applyAlignment="1">
      <alignment horizontal="left" vertical="center" wrapText="1"/>
    </xf>
    <xf numFmtId="0" fontId="0" fillId="3" borderId="1" xfId="0" applyFill="1" applyBorder="1" applyAlignment="1">
      <alignment horizontal="left" vertical="center"/>
    </xf>
    <xf numFmtId="9" fontId="0" fillId="0" borderId="1" xfId="0" applyNumberFormat="1" applyFill="1" applyBorder="1" applyAlignment="1">
      <alignment horizontal="center"/>
    </xf>
    <xf numFmtId="0" fontId="14" fillId="11" borderId="1" xfId="0" applyFont="1" applyFill="1" applyBorder="1" applyAlignment="1">
      <alignment horizontal="left" vertical="center"/>
    </xf>
    <xf numFmtId="0" fontId="1" fillId="11" borderId="1" xfId="0" applyFont="1" applyFill="1" applyBorder="1" applyAlignment="1">
      <alignment horizontal="left" vertical="center"/>
    </xf>
    <xf numFmtId="0" fontId="0" fillId="2" borderId="24" xfId="0" applyFill="1" applyBorder="1" applyAlignment="1" applyProtection="1">
      <alignment horizontal="left" vertical="center" wrapText="1"/>
      <protection locked="0"/>
    </xf>
    <xf numFmtId="0" fontId="0" fillId="2" borderId="29" xfId="0" applyFill="1" applyBorder="1" applyAlignment="1" applyProtection="1">
      <alignment horizontal="left" vertical="center" wrapText="1"/>
      <protection locked="0"/>
    </xf>
    <xf numFmtId="0" fontId="0" fillId="2" borderId="25" xfId="0" applyFill="1" applyBorder="1" applyAlignment="1" applyProtection="1">
      <alignment horizontal="left" vertical="center" wrapText="1"/>
      <protection locked="0"/>
    </xf>
    <xf numFmtId="0" fontId="0" fillId="3" borderId="1" xfId="0" applyFill="1" applyBorder="1" applyAlignment="1">
      <alignment horizontal="center"/>
    </xf>
    <xf numFmtId="0" fontId="0" fillId="3" borderId="1" xfId="0" applyFill="1" applyBorder="1" applyAlignment="1">
      <alignment horizontal="center" vertical="center"/>
    </xf>
    <xf numFmtId="0" fontId="0" fillId="3" borderId="24" xfId="0" applyFill="1" applyBorder="1" applyAlignment="1">
      <alignment horizontal="left" vertical="center" wrapText="1"/>
    </xf>
    <xf numFmtId="0" fontId="0" fillId="3" borderId="29" xfId="0" applyFill="1" applyBorder="1" applyAlignment="1">
      <alignment horizontal="left" vertical="center"/>
    </xf>
    <xf numFmtId="0" fontId="0" fillId="3" borderId="25" xfId="0" applyFill="1" applyBorder="1" applyAlignment="1">
      <alignment horizontal="left" vertical="center"/>
    </xf>
    <xf numFmtId="0" fontId="0" fillId="3" borderId="30" xfId="0" applyFill="1" applyBorder="1" applyAlignment="1">
      <alignment horizontal="center" vertical="center"/>
    </xf>
    <xf numFmtId="0" fontId="0" fillId="3" borderId="28" xfId="0" applyFill="1" applyBorder="1" applyAlignment="1">
      <alignment horizontal="center" vertical="center"/>
    </xf>
    <xf numFmtId="0" fontId="0" fillId="3" borderId="34" xfId="0" applyFill="1" applyBorder="1" applyAlignment="1">
      <alignment horizontal="center" vertical="center"/>
    </xf>
    <xf numFmtId="0" fontId="0" fillId="3" borderId="27" xfId="0" applyFill="1" applyBorder="1" applyAlignment="1">
      <alignment horizontal="center" vertical="center"/>
    </xf>
    <xf numFmtId="0" fontId="0" fillId="2" borderId="28" xfId="0" applyFill="1" applyBorder="1" applyAlignment="1" applyProtection="1">
      <alignment horizontal="center" wrapText="1"/>
      <protection locked="0"/>
    </xf>
    <xf numFmtId="0" fontId="0" fillId="2" borderId="31" xfId="0" applyFill="1" applyBorder="1" applyAlignment="1" applyProtection="1">
      <alignment horizontal="center" wrapText="1"/>
      <protection locked="0"/>
    </xf>
    <xf numFmtId="0" fontId="0" fillId="2" borderId="27" xfId="0" applyFill="1" applyBorder="1" applyAlignment="1" applyProtection="1">
      <alignment horizontal="center" wrapText="1"/>
      <protection locked="0"/>
    </xf>
    <xf numFmtId="0" fontId="0" fillId="2" borderId="35" xfId="0" applyFill="1" applyBorder="1" applyAlignment="1" applyProtection="1">
      <alignment horizontal="center" wrapText="1"/>
      <protection locked="0"/>
    </xf>
    <xf numFmtId="0" fontId="0" fillId="2" borderId="1" xfId="0" applyFill="1" applyBorder="1" applyAlignment="1" applyProtection="1">
      <alignment horizontal="left" vertical="center" wrapText="1"/>
      <protection locked="0"/>
    </xf>
    <xf numFmtId="0" fontId="0" fillId="2" borderId="24" xfId="0" applyFill="1" applyBorder="1" applyAlignment="1" applyProtection="1">
      <alignment horizontal="center" wrapText="1"/>
      <protection locked="0"/>
    </xf>
    <xf numFmtId="0" fontId="0" fillId="2" borderId="25" xfId="0" applyFill="1" applyBorder="1" applyAlignment="1" applyProtection="1">
      <alignment horizontal="center" wrapText="1"/>
      <protection locked="0"/>
    </xf>
    <xf numFmtId="0" fontId="0" fillId="0" borderId="30"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30" xfId="0" applyFill="1" applyBorder="1" applyAlignment="1">
      <alignment horizontal="center" vertical="center"/>
    </xf>
    <xf numFmtId="0" fontId="0" fillId="0" borderId="28" xfId="0"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0"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27" xfId="0" applyFill="1" applyBorder="1" applyAlignment="1">
      <alignment horizontal="center" vertical="center"/>
    </xf>
    <xf numFmtId="0" fontId="0" fillId="0" borderId="35" xfId="0" applyFill="1" applyBorder="1" applyAlignment="1">
      <alignment horizontal="center" vertical="center"/>
    </xf>
    <xf numFmtId="0" fontId="1" fillId="0" borderId="0" xfId="0" applyFont="1" applyAlignment="1">
      <alignment horizontal="left"/>
    </xf>
    <xf numFmtId="0" fontId="0" fillId="0" borderId="0" xfId="0" applyAlignment="1">
      <alignment horizontal="left" vertical="center" wrapText="1"/>
    </xf>
    <xf numFmtId="0" fontId="0" fillId="0" borderId="0" xfId="0" applyAlignment="1">
      <alignment horizontal="left" vertical="center"/>
    </xf>
    <xf numFmtId="0" fontId="0" fillId="0" borderId="32" xfId="0" applyBorder="1" applyAlignment="1">
      <alignment horizontal="left" vertical="center"/>
    </xf>
    <xf numFmtId="0" fontId="0" fillId="2" borderId="27" xfId="0" applyFill="1" applyBorder="1" applyAlignment="1">
      <alignment horizontal="center"/>
    </xf>
    <xf numFmtId="0" fontId="0" fillId="2" borderId="27" xfId="0" applyFill="1" applyBorder="1" applyAlignment="1" applyProtection="1">
      <alignment horizontal="center"/>
      <protection locked="0"/>
    </xf>
    <xf numFmtId="0" fontId="0" fillId="0" borderId="1" xfId="0" applyBorder="1" applyAlignment="1">
      <alignment horizontal="center" vertical="center" wrapText="1"/>
    </xf>
    <xf numFmtId="0" fontId="0" fillId="0" borderId="1" xfId="0" applyBorder="1" applyAlignment="1">
      <alignment horizontal="center" vertical="center"/>
    </xf>
    <xf numFmtId="9" fontId="0" fillId="0" borderId="1" xfId="0" applyNumberFormat="1" applyFill="1" applyBorder="1" applyAlignment="1" applyProtection="1">
      <alignment horizontal="center" vertical="center"/>
    </xf>
    <xf numFmtId="0" fontId="0" fillId="0" borderId="1" xfId="0" applyFill="1" applyBorder="1" applyAlignment="1" applyProtection="1">
      <alignment horizontal="center" vertical="center"/>
    </xf>
    <xf numFmtId="0" fontId="0" fillId="2" borderId="1" xfId="0" applyFill="1" applyBorder="1" applyAlignment="1" applyProtection="1">
      <alignment horizontal="center" vertical="center" wrapText="1"/>
      <protection locked="0"/>
    </xf>
    <xf numFmtId="0" fontId="20" fillId="0" borderId="24"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25" xfId="0" applyFont="1" applyBorder="1" applyAlignment="1">
      <alignment horizontal="center" vertical="center" wrapText="1"/>
    </xf>
    <xf numFmtId="0" fontId="0" fillId="0" borderId="29" xfId="0" applyFill="1" applyBorder="1" applyAlignment="1">
      <alignment horizontal="left" vertical="center"/>
    </xf>
    <xf numFmtId="0" fontId="0" fillId="0" borderId="25" xfId="0" applyFill="1" applyBorder="1" applyAlignment="1">
      <alignment horizontal="left" vertical="center"/>
    </xf>
    <xf numFmtId="0" fontId="0" fillId="0" borderId="24"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25" xfId="0" applyFill="1" applyBorder="1" applyAlignment="1">
      <alignment horizontal="center" vertical="center" wrapText="1"/>
    </xf>
    <xf numFmtId="0" fontId="1" fillId="9" borderId="1" xfId="0" applyFont="1" applyFill="1" applyBorder="1" applyAlignment="1">
      <alignment horizontal="center" vertical="center" wrapText="1"/>
    </xf>
    <xf numFmtId="0" fontId="0" fillId="0" borderId="29" xfId="0" applyFont="1" applyFill="1" applyBorder="1" applyAlignment="1">
      <alignment horizontal="center"/>
    </xf>
    <xf numFmtId="0" fontId="0" fillId="0" borderId="29" xfId="0" applyFill="1" applyBorder="1" applyAlignment="1">
      <alignment horizontal="center" vertical="center"/>
    </xf>
    <xf numFmtId="0" fontId="0" fillId="0" borderId="25" xfId="0" applyFill="1" applyBorder="1" applyAlignment="1">
      <alignment horizontal="center" vertical="center"/>
    </xf>
    <xf numFmtId="0" fontId="0" fillId="2" borderId="29" xfId="0" applyFill="1" applyBorder="1" applyAlignment="1" applyProtection="1">
      <alignment vertical="center" wrapText="1"/>
      <protection locked="0"/>
    </xf>
    <xf numFmtId="0" fontId="0" fillId="2" borderId="25" xfId="0" applyFill="1" applyBorder="1" applyAlignment="1" applyProtection="1">
      <alignment vertical="center" wrapText="1"/>
      <protection locked="0"/>
    </xf>
    <xf numFmtId="0" fontId="0" fillId="0" borderId="29" xfId="0" applyBorder="1" applyAlignment="1">
      <alignment vertical="center"/>
    </xf>
    <xf numFmtId="0" fontId="0" fillId="0" borderId="25" xfId="0" applyBorder="1" applyAlignment="1">
      <alignment vertical="center"/>
    </xf>
    <xf numFmtId="0" fontId="20" fillId="0" borderId="1" xfId="0" applyFont="1" applyBorder="1" applyAlignment="1">
      <alignment horizontal="center" vertical="center" wrapText="1"/>
    </xf>
    <xf numFmtId="0" fontId="0" fillId="2" borderId="1" xfId="0" applyFill="1" applyBorder="1" applyAlignment="1" applyProtection="1">
      <alignment vertical="center"/>
      <protection locked="0"/>
    </xf>
    <xf numFmtId="0" fontId="20" fillId="0" borderId="1" xfId="0" applyFont="1" applyBorder="1" applyAlignment="1">
      <alignment horizontal="center" vertical="center"/>
    </xf>
    <xf numFmtId="14" fontId="0" fillId="2" borderId="29" xfId="0" applyNumberFormat="1" applyFill="1" applyBorder="1" applyAlignment="1" applyProtection="1">
      <alignment horizontal="center" vertical="center" wrapText="1"/>
      <protection locked="0"/>
    </xf>
    <xf numFmtId="14" fontId="0" fillId="2" borderId="25" xfId="0" applyNumberFormat="1" applyFill="1" applyBorder="1" applyAlignment="1" applyProtection="1">
      <alignment horizontal="center" vertical="center" wrapText="1"/>
      <protection locked="0"/>
    </xf>
    <xf numFmtId="0" fontId="20" fillId="0" borderId="30"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33" xfId="0" applyFont="1" applyBorder="1" applyAlignment="1">
      <alignment horizontal="center" vertical="center" wrapText="1"/>
    </xf>
    <xf numFmtId="0" fontId="0" fillId="0" borderId="24" xfId="0" applyBorder="1" applyAlignment="1">
      <alignment horizontal="left" vertical="center"/>
    </xf>
    <xf numFmtId="0" fontId="0" fillId="0" borderId="29" xfId="0" applyBorder="1" applyAlignment="1">
      <alignment horizontal="left" vertical="center"/>
    </xf>
    <xf numFmtId="0" fontId="0" fillId="0" borderId="25" xfId="0" applyBorder="1" applyAlignment="1">
      <alignment horizontal="left" vertical="center"/>
    </xf>
    <xf numFmtId="0" fontId="20" fillId="0" borderId="34"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35" xfId="0" applyFont="1" applyBorder="1" applyAlignment="1">
      <alignment horizontal="center" vertical="center" wrapText="1"/>
    </xf>
    <xf numFmtId="0" fontId="0" fillId="0" borderId="29" xfId="0" applyBorder="1" applyAlignment="1">
      <alignment horizontal="left" vertical="center" wrapText="1"/>
    </xf>
    <xf numFmtId="0" fontId="0" fillId="0" borderId="25" xfId="0" applyBorder="1" applyAlignment="1">
      <alignment horizontal="left" vertical="center" wrapText="1"/>
    </xf>
    <xf numFmtId="0" fontId="20" fillId="0" borderId="0" xfId="0" applyFont="1" applyAlignment="1">
      <alignment horizontal="left"/>
    </xf>
    <xf numFmtId="0" fontId="20" fillId="0" borderId="32" xfId="0" applyFont="1" applyBorder="1" applyAlignment="1">
      <alignment horizontal="left"/>
    </xf>
    <xf numFmtId="0" fontId="1" fillId="0" borderId="1" xfId="0" applyFont="1" applyBorder="1" applyAlignment="1">
      <alignment horizontal="center" vertical="top"/>
    </xf>
    <xf numFmtId="0" fontId="1" fillId="0" borderId="24" xfId="0" applyFont="1" applyBorder="1" applyAlignment="1" applyProtection="1">
      <alignment horizontal="center" vertical="top" wrapText="1"/>
      <protection locked="0"/>
    </xf>
    <xf numFmtId="0" fontId="1" fillId="0" borderId="29" xfId="0" applyFont="1" applyBorder="1" applyAlignment="1" applyProtection="1">
      <alignment horizontal="center" vertical="top" wrapText="1"/>
      <protection locked="0"/>
    </xf>
    <xf numFmtId="0" fontId="1" fillId="0" borderId="25" xfId="0" applyFont="1" applyBorder="1" applyAlignment="1" applyProtection="1">
      <alignment horizontal="center" vertical="top" wrapText="1"/>
      <protection locked="0"/>
    </xf>
    <xf numFmtId="0" fontId="1" fillId="10" borderId="1" xfId="0" applyFont="1" applyFill="1" applyBorder="1" applyAlignment="1">
      <alignment horizontal="center"/>
    </xf>
    <xf numFmtId="0" fontId="1" fillId="0" borderId="1" xfId="0" applyFont="1" applyBorder="1" applyAlignment="1">
      <alignment horizontal="left" vertical="top" wrapText="1"/>
    </xf>
    <xf numFmtId="0" fontId="22" fillId="0" borderId="1" xfId="0" applyFont="1" applyBorder="1" applyAlignment="1">
      <alignment horizontal="left" vertical="center"/>
    </xf>
    <xf numFmtId="0" fontId="22" fillId="0" borderId="1" xfId="0" applyFont="1" applyBorder="1" applyAlignment="1">
      <alignment horizontal="left" vertical="center" wrapText="1"/>
    </xf>
    <xf numFmtId="0" fontId="22" fillId="0" borderId="1" xfId="0" applyFont="1" applyBorder="1" applyAlignment="1">
      <alignment horizontal="left" vertical="top"/>
    </xf>
    <xf numFmtId="0" fontId="0" fillId="0" borderId="27" xfId="0" applyFont="1" applyFill="1" applyBorder="1" applyAlignment="1">
      <alignment horizontal="center"/>
    </xf>
    <xf numFmtId="0" fontId="21" fillId="0" borderId="1" xfId="0" applyFont="1" applyBorder="1" applyAlignment="1">
      <alignment horizontal="center" vertical="center" wrapText="1"/>
    </xf>
    <xf numFmtId="0" fontId="20" fillId="2" borderId="1" xfId="0" applyFont="1" applyFill="1" applyBorder="1" applyAlignment="1" applyProtection="1">
      <alignment horizontal="center" vertical="center" wrapText="1"/>
      <protection locked="0"/>
    </xf>
    <xf numFmtId="0" fontId="25" fillId="0" borderId="1" xfId="0" applyFont="1" applyBorder="1" applyAlignment="1">
      <alignment horizontal="center" vertical="center" wrapText="1"/>
    </xf>
    <xf numFmtId="0" fontId="21" fillId="10" borderId="1" xfId="0" applyFont="1" applyFill="1" applyBorder="1" applyAlignment="1">
      <alignment horizontal="center" vertical="center" wrapText="1"/>
    </xf>
    <xf numFmtId="0" fontId="0" fillId="0" borderId="27" xfId="0" applyBorder="1" applyAlignment="1">
      <alignment horizontal="left" vertical="top"/>
    </xf>
    <xf numFmtId="49" fontId="0" fillId="0" borderId="27" xfId="0" applyNumberFormat="1" applyFont="1" applyFill="1" applyBorder="1" applyAlignment="1">
      <alignment horizontal="center"/>
    </xf>
    <xf numFmtId="0" fontId="1" fillId="10" borderId="1" xfId="0" applyFont="1" applyFill="1" applyBorder="1" applyAlignment="1">
      <alignment horizontal="left" vertical="top" wrapText="1"/>
    </xf>
    <xf numFmtId="0" fontId="0" fillId="2" borderId="29" xfId="0" applyFill="1" applyBorder="1" applyAlignment="1" applyProtection="1">
      <alignment horizontal="center" wrapText="1"/>
      <protection locked="0"/>
    </xf>
    <xf numFmtId="0" fontId="0" fillId="2" borderId="1" xfId="0" applyFill="1" applyBorder="1" applyAlignment="1" applyProtection="1">
      <alignment horizontal="center"/>
      <protection locked="0"/>
    </xf>
    <xf numFmtId="0" fontId="0" fillId="2" borderId="1" xfId="0" applyFill="1" applyBorder="1" applyAlignment="1">
      <alignment horizontal="center" vertical="center"/>
    </xf>
    <xf numFmtId="0" fontId="25" fillId="0" borderId="1" xfId="0" applyFont="1" applyFill="1" applyBorder="1" applyAlignment="1">
      <alignment horizontal="center" vertical="center" wrapText="1"/>
    </xf>
    <xf numFmtId="2" fontId="0" fillId="0" borderId="1" xfId="0" applyNumberFormat="1" applyBorder="1" applyAlignment="1">
      <alignment horizontal="center" vertical="center"/>
    </xf>
    <xf numFmtId="0" fontId="22" fillId="3" borderId="1" xfId="0" applyFont="1" applyFill="1" applyBorder="1" applyAlignment="1" applyProtection="1">
      <alignment horizontal="center" vertical="top"/>
    </xf>
    <xf numFmtId="0" fontId="14" fillId="11" borderId="1" xfId="0" applyFont="1" applyFill="1" applyBorder="1" applyAlignment="1" applyProtection="1">
      <alignment horizontal="left" vertical="center"/>
    </xf>
    <xf numFmtId="0" fontId="1" fillId="11" borderId="1" xfId="0" applyFont="1" applyFill="1" applyBorder="1" applyAlignment="1" applyProtection="1">
      <alignment horizontal="left" vertical="center"/>
    </xf>
    <xf numFmtId="0" fontId="0" fillId="3" borderId="1" xfId="0" applyFill="1" applyBorder="1" applyAlignment="1" applyProtection="1">
      <alignment horizontal="left" vertical="center" wrapText="1"/>
    </xf>
    <xf numFmtId="0" fontId="0" fillId="3" borderId="1" xfId="0" applyFill="1" applyBorder="1" applyAlignment="1" applyProtection="1">
      <alignment horizontal="left" vertical="center"/>
    </xf>
    <xf numFmtId="0" fontId="20" fillId="0" borderId="1" xfId="0" applyFont="1" applyFill="1" applyBorder="1" applyAlignment="1" applyProtection="1">
      <alignment horizontal="center" vertical="top" wrapText="1"/>
    </xf>
    <xf numFmtId="0" fontId="20" fillId="0" borderId="1" xfId="0" applyFont="1" applyFill="1" applyBorder="1" applyAlignment="1" applyProtection="1">
      <alignment horizontal="center" vertical="top"/>
    </xf>
    <xf numFmtId="0" fontId="20" fillId="0" borderId="1"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xf>
    <xf numFmtId="0" fontId="25" fillId="3" borderId="1" xfId="0" applyFont="1" applyFill="1" applyBorder="1" applyAlignment="1" applyProtection="1">
      <alignment horizontal="left" vertical="top" wrapText="1"/>
    </xf>
    <xf numFmtId="0" fontId="0" fillId="0" borderId="1" xfId="0" applyFill="1" applyBorder="1" applyAlignment="1">
      <alignment horizontal="center" vertical="center" wrapText="1"/>
    </xf>
    <xf numFmtId="0" fontId="0" fillId="2" borderId="30" xfId="0" applyFill="1" applyBorder="1" applyAlignment="1" applyProtection="1">
      <alignment horizontal="center" wrapText="1"/>
      <protection locked="0"/>
    </xf>
    <xf numFmtId="0" fontId="0" fillId="2" borderId="34" xfId="0" applyFill="1" applyBorder="1" applyAlignment="1" applyProtection="1">
      <alignment horizontal="center" wrapText="1"/>
      <protection locked="0"/>
    </xf>
    <xf numFmtId="0" fontId="0" fillId="2" borderId="24" xfId="0"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0" borderId="1" xfId="0" applyBorder="1" applyAlignment="1">
      <alignment vertical="center"/>
    </xf>
    <xf numFmtId="0" fontId="0" fillId="0" borderId="1" xfId="0" applyBorder="1" applyAlignment="1">
      <alignment horizontal="left" vertical="center" wrapText="1"/>
    </xf>
    <xf numFmtId="14" fontId="0" fillId="2" borderId="29" xfId="0" applyNumberFormat="1" applyFill="1" applyBorder="1" applyAlignment="1" applyProtection="1">
      <alignment horizontal="center" vertical="center"/>
      <protection locked="0"/>
    </xf>
    <xf numFmtId="14" fontId="0" fillId="2" borderId="25" xfId="0" applyNumberFormat="1" applyFill="1" applyBorder="1" applyAlignment="1" applyProtection="1">
      <alignment horizontal="center" vertical="center"/>
      <protection locked="0"/>
    </xf>
    <xf numFmtId="0" fontId="1" fillId="0" borderId="1" xfId="0" applyFont="1" applyBorder="1" applyAlignment="1" applyProtection="1">
      <alignment horizontal="center" vertical="top"/>
      <protection locked="0"/>
    </xf>
    <xf numFmtId="0" fontId="20" fillId="3" borderId="1" xfId="0" applyFont="1" applyFill="1" applyBorder="1" applyAlignment="1">
      <alignment horizontal="left" vertical="center" wrapText="1"/>
    </xf>
    <xf numFmtId="0" fontId="20" fillId="3" borderId="1" xfId="0" applyFont="1" applyFill="1" applyBorder="1" applyAlignment="1">
      <alignment horizontal="left" vertical="center"/>
    </xf>
    <xf numFmtId="0" fontId="14" fillId="11" borderId="0" xfId="0" applyFont="1" applyFill="1" applyAlignment="1">
      <alignment horizontal="left" vertical="center"/>
    </xf>
    <xf numFmtId="0" fontId="1" fillId="11" borderId="0" xfId="0" applyFont="1" applyFill="1" applyAlignment="1">
      <alignment horizontal="left" vertical="center"/>
    </xf>
    <xf numFmtId="0" fontId="22" fillId="3" borderId="24" xfId="0" applyFont="1" applyFill="1" applyBorder="1" applyAlignment="1">
      <alignment horizontal="center" vertical="top"/>
    </xf>
    <xf numFmtId="0" fontId="22" fillId="3" borderId="25" xfId="0" applyFont="1" applyFill="1" applyBorder="1" applyAlignment="1">
      <alignment horizontal="center" vertical="top"/>
    </xf>
    <xf numFmtId="0" fontId="22" fillId="3" borderId="1" xfId="0" applyFont="1" applyFill="1" applyBorder="1" applyAlignment="1">
      <alignment horizontal="center" vertical="top"/>
    </xf>
    <xf numFmtId="0" fontId="0" fillId="2" borderId="27" xfId="0" applyFont="1" applyFill="1" applyBorder="1" applyAlignment="1" applyProtection="1">
      <alignment horizontal="center" wrapText="1"/>
      <protection locked="0"/>
    </xf>
    <xf numFmtId="0" fontId="0" fillId="0" borderId="27" xfId="0" applyBorder="1" applyAlignment="1">
      <alignment horizontal="center" vertical="center"/>
    </xf>
    <xf numFmtId="0" fontId="0" fillId="2" borderId="1" xfId="0" applyFill="1" applyBorder="1" applyAlignment="1" applyProtection="1">
      <alignment vertical="center" wrapText="1"/>
      <protection locked="0"/>
    </xf>
    <xf numFmtId="0" fontId="0" fillId="0" borderId="1" xfId="0" applyBorder="1" applyAlignment="1">
      <alignment horizontal="left" vertical="center"/>
    </xf>
    <xf numFmtId="0" fontId="0" fillId="0" borderId="1" xfId="0" applyFill="1" applyBorder="1" applyAlignment="1">
      <alignment horizontal="left" vertical="center"/>
    </xf>
    <xf numFmtId="0" fontId="0" fillId="2" borderId="24" xfId="0" applyFill="1" applyBorder="1" applyAlignment="1" applyProtection="1">
      <alignment vertical="center" wrapText="1"/>
      <protection locked="0"/>
    </xf>
    <xf numFmtId="0" fontId="20" fillId="0" borderId="1" xfId="0" applyFont="1" applyFill="1" applyBorder="1" applyAlignment="1" applyProtection="1">
      <alignment horizontal="center" vertical="top" wrapText="1"/>
      <protection locked="0"/>
    </xf>
    <xf numFmtId="0" fontId="20" fillId="0" borderId="1" xfId="0" applyFont="1" applyFill="1" applyBorder="1" applyAlignment="1" applyProtection="1">
      <alignment horizontal="center" vertical="top"/>
      <protection locked="0"/>
    </xf>
    <xf numFmtId="0" fontId="20"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protection locked="0"/>
    </xf>
  </cellXfs>
  <cellStyles count="2">
    <cellStyle name="Hyperlink" xfId="1" builtinId="8"/>
    <cellStyle name="Normal" xfId="0" builtinId="0"/>
  </cellStyles>
  <dxfs count="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59999389629810485"/>
  </sheetPr>
  <dimension ref="A1:K31"/>
  <sheetViews>
    <sheetView tabSelected="1" view="pageLayout" topLeftCell="A2" zoomScaleNormal="175" workbookViewId="0">
      <selection activeCell="G19" sqref="G19:I21"/>
    </sheetView>
  </sheetViews>
  <sheetFormatPr defaultRowHeight="15" x14ac:dyDescent="0.25"/>
  <cols>
    <col min="1" max="2" width="6.5703125" style="6" customWidth="1"/>
    <col min="3" max="9" width="9.140625" style="6"/>
    <col min="10" max="11" width="7.140625" style="6" customWidth="1"/>
    <col min="12" max="16384" width="9.140625" style="6"/>
  </cols>
  <sheetData>
    <row r="1" spans="1:11" ht="45" customHeight="1" x14ac:dyDescent="0.3">
      <c r="B1" s="147" t="s">
        <v>69</v>
      </c>
      <c r="C1" s="147"/>
      <c r="D1" s="147"/>
      <c r="E1" s="147"/>
      <c r="F1" s="147"/>
      <c r="G1" s="147"/>
      <c r="H1" s="147"/>
      <c r="I1" s="147"/>
      <c r="J1" s="147"/>
    </row>
    <row r="2" spans="1:11" ht="15.75" thickBot="1" x14ac:dyDescent="0.3">
      <c r="A2" s="46"/>
      <c r="B2" s="46"/>
      <c r="C2" s="46"/>
      <c r="D2" s="46"/>
      <c r="E2" s="46"/>
      <c r="F2" s="46"/>
      <c r="G2" s="46"/>
      <c r="H2" s="46"/>
      <c r="I2" s="46"/>
      <c r="J2" s="46"/>
      <c r="K2" s="46"/>
    </row>
    <row r="3" spans="1:11" ht="15.75" thickBot="1" x14ac:dyDescent="0.3">
      <c r="A3" s="46"/>
      <c r="B3" s="46"/>
      <c r="C3" s="136" t="s">
        <v>50</v>
      </c>
      <c r="D3" s="136"/>
      <c r="E3" s="137"/>
      <c r="F3" s="47"/>
      <c r="G3" s="138"/>
      <c r="H3" s="139"/>
      <c r="I3" s="140"/>
      <c r="J3" s="48"/>
      <c r="K3" s="46"/>
    </row>
    <row r="4" spans="1:11" ht="15.75" thickBot="1" x14ac:dyDescent="0.3">
      <c r="A4" s="46"/>
      <c r="B4" s="46"/>
      <c r="C4" s="136" t="s">
        <v>51</v>
      </c>
      <c r="D4" s="136"/>
      <c r="E4" s="137"/>
      <c r="F4" s="47"/>
      <c r="G4" s="141"/>
      <c r="H4" s="142"/>
      <c r="I4" s="143"/>
      <c r="J4" s="48"/>
      <c r="K4" s="46"/>
    </row>
    <row r="5" spans="1:11" ht="15.75" thickBot="1" x14ac:dyDescent="0.3">
      <c r="A5" s="46"/>
      <c r="B5" s="46"/>
      <c r="C5" s="136" t="s">
        <v>52</v>
      </c>
      <c r="D5" s="136"/>
      <c r="E5" s="137"/>
      <c r="F5" s="47"/>
      <c r="G5" s="144"/>
      <c r="H5" s="145"/>
      <c r="I5" s="146"/>
      <c r="J5" s="48"/>
      <c r="K5" s="46"/>
    </row>
    <row r="6" spans="1:11" x14ac:dyDescent="0.25">
      <c r="A6" s="46"/>
      <c r="B6" s="46"/>
      <c r="C6" s="46"/>
      <c r="D6" s="46"/>
      <c r="E6" s="46"/>
      <c r="F6" s="48"/>
      <c r="G6" s="48"/>
      <c r="I6" s="48"/>
      <c r="J6" s="48"/>
      <c r="K6" s="46"/>
    </row>
    <row r="7" spans="1:11" x14ac:dyDescent="0.25">
      <c r="A7" s="46"/>
      <c r="B7" s="46"/>
      <c r="C7" s="46"/>
      <c r="D7" s="46"/>
      <c r="E7" s="46"/>
      <c r="F7" s="46"/>
      <c r="G7" s="46"/>
      <c r="H7" s="46"/>
      <c r="I7" s="46"/>
      <c r="J7" s="46"/>
      <c r="K7" s="46"/>
    </row>
    <row r="8" spans="1:11" ht="15.75" thickBot="1" x14ac:dyDescent="0.3">
      <c r="A8" s="46"/>
      <c r="B8" s="46"/>
      <c r="C8" s="46"/>
      <c r="D8" s="46"/>
      <c r="E8" s="46"/>
      <c r="F8" s="46"/>
      <c r="G8" s="46"/>
      <c r="H8" s="46"/>
      <c r="I8" s="46"/>
      <c r="J8" s="46"/>
      <c r="K8" s="46"/>
    </row>
    <row r="9" spans="1:11" ht="15.75" thickBot="1" x14ac:dyDescent="0.3">
      <c r="C9" s="148" t="s">
        <v>34</v>
      </c>
      <c r="D9" s="149"/>
      <c r="E9" s="150"/>
      <c r="G9" s="148" t="s">
        <v>35</v>
      </c>
      <c r="H9" s="149"/>
      <c r="I9" s="150"/>
    </row>
    <row r="10" spans="1:11" ht="15.75" thickBot="1" x14ac:dyDescent="0.3">
      <c r="C10" s="151">
        <f>'SGO #1(Tiered or Simple)'!G25</f>
        <v>0.5</v>
      </c>
      <c r="D10" s="152"/>
      <c r="E10" s="153"/>
      <c r="G10" s="151">
        <f>'SGO #2(Tiered or Simple)'!G25</f>
        <v>0.5</v>
      </c>
      <c r="H10" s="152"/>
      <c r="I10" s="153"/>
      <c r="K10" s="48"/>
    </row>
    <row r="11" spans="1:11" ht="15.75" thickBot="1" x14ac:dyDescent="0.3">
      <c r="C11" s="49"/>
      <c r="D11" s="50"/>
      <c r="E11" s="50"/>
      <c r="G11" s="49"/>
      <c r="H11" s="50"/>
      <c r="I11" s="50"/>
    </row>
    <row r="12" spans="1:11" ht="15.75" thickBot="1" x14ac:dyDescent="0.3">
      <c r="C12" s="49"/>
      <c r="D12" s="50"/>
      <c r="E12" s="148" t="s">
        <v>37</v>
      </c>
      <c r="F12" s="149"/>
      <c r="G12" s="150"/>
      <c r="H12" s="50"/>
      <c r="I12" s="50"/>
    </row>
    <row r="13" spans="1:11" ht="15.75" thickBot="1" x14ac:dyDescent="0.3">
      <c r="C13" s="49"/>
      <c r="D13" s="50"/>
      <c r="E13" s="151">
        <f>C10+G10</f>
        <v>1</v>
      </c>
      <c r="F13" s="152"/>
      <c r="G13" s="153"/>
      <c r="H13" s="50"/>
      <c r="I13" s="50"/>
    </row>
    <row r="14" spans="1:11" x14ac:dyDescent="0.25">
      <c r="C14" s="49"/>
      <c r="D14" s="50"/>
      <c r="E14" s="49"/>
      <c r="F14" s="50"/>
      <c r="G14" s="50"/>
      <c r="H14" s="50"/>
      <c r="I14" s="50"/>
    </row>
    <row r="15" spans="1:11" x14ac:dyDescent="0.25">
      <c r="C15" s="172" t="s">
        <v>71</v>
      </c>
      <c r="D15" s="172"/>
      <c r="E15" s="172"/>
      <c r="F15" s="50"/>
      <c r="G15" s="172" t="s">
        <v>70</v>
      </c>
      <c r="H15" s="172"/>
      <c r="I15" s="172"/>
    </row>
    <row r="16" spans="1:11" x14ac:dyDescent="0.25">
      <c r="C16" s="172"/>
      <c r="D16" s="172"/>
      <c r="E16" s="172"/>
      <c r="F16" s="50"/>
      <c r="G16" s="172"/>
      <c r="H16" s="172"/>
      <c r="I16" s="172"/>
    </row>
    <row r="17" spans="2:10" ht="27" customHeight="1" thickBot="1" x14ac:dyDescent="0.3">
      <c r="C17" s="173"/>
      <c r="D17" s="173"/>
      <c r="E17" s="173"/>
      <c r="G17" s="173"/>
      <c r="H17" s="173"/>
      <c r="I17" s="173"/>
    </row>
    <row r="18" spans="2:10" ht="15.75" thickBot="1" x14ac:dyDescent="0.3">
      <c r="C18" s="148" t="s">
        <v>32</v>
      </c>
      <c r="D18" s="149"/>
      <c r="E18" s="150"/>
      <c r="F18" s="51"/>
      <c r="G18" s="148" t="s">
        <v>33</v>
      </c>
      <c r="H18" s="149"/>
      <c r="I18" s="150"/>
    </row>
    <row r="19" spans="2:10" x14ac:dyDescent="0.25">
      <c r="C19" s="163"/>
      <c r="D19" s="164"/>
      <c r="E19" s="165"/>
      <c r="F19" s="52"/>
      <c r="G19" s="163"/>
      <c r="H19" s="164"/>
      <c r="I19" s="165"/>
    </row>
    <row r="20" spans="2:10" x14ac:dyDescent="0.25">
      <c r="C20" s="166"/>
      <c r="D20" s="167"/>
      <c r="E20" s="168"/>
      <c r="F20" s="52"/>
      <c r="G20" s="166"/>
      <c r="H20" s="167"/>
      <c r="I20" s="168"/>
    </row>
    <row r="21" spans="2:10" ht="15.75" thickBot="1" x14ac:dyDescent="0.3">
      <c r="C21" s="169"/>
      <c r="D21" s="170"/>
      <c r="E21" s="171"/>
      <c r="F21" s="52"/>
      <c r="G21" s="169"/>
      <c r="H21" s="170"/>
      <c r="I21" s="171"/>
    </row>
    <row r="23" spans="2:10" ht="15.75" thickBot="1" x14ac:dyDescent="0.3"/>
    <row r="24" spans="2:10" ht="15.75" thickBot="1" x14ac:dyDescent="0.3">
      <c r="C24" s="148" t="s">
        <v>36</v>
      </c>
      <c r="D24" s="149"/>
      <c r="E24" s="149"/>
      <c r="F24" s="149"/>
      <c r="G24" s="149"/>
      <c r="H24" s="149"/>
      <c r="I24" s="150"/>
    </row>
    <row r="25" spans="2:10" x14ac:dyDescent="0.25">
      <c r="C25" s="154">
        <f>(C19*C10)+(G19*G10)</f>
        <v>0</v>
      </c>
      <c r="D25" s="155"/>
      <c r="E25" s="155"/>
      <c r="F25" s="155"/>
      <c r="G25" s="155"/>
      <c r="H25" s="155"/>
      <c r="I25" s="156"/>
    </row>
    <row r="26" spans="2:10" x14ac:dyDescent="0.25">
      <c r="C26" s="157"/>
      <c r="D26" s="158"/>
      <c r="E26" s="158"/>
      <c r="F26" s="158"/>
      <c r="G26" s="158"/>
      <c r="H26" s="158"/>
      <c r="I26" s="159"/>
    </row>
    <row r="27" spans="2:10" x14ac:dyDescent="0.25">
      <c r="C27" s="157"/>
      <c r="D27" s="158"/>
      <c r="E27" s="158"/>
      <c r="F27" s="158"/>
      <c r="G27" s="158"/>
      <c r="H27" s="158"/>
      <c r="I27" s="159"/>
    </row>
    <row r="28" spans="2:10" ht="15.75" thickBot="1" x14ac:dyDescent="0.3">
      <c r="C28" s="160"/>
      <c r="D28" s="161"/>
      <c r="E28" s="161"/>
      <c r="F28" s="161"/>
      <c r="G28" s="161"/>
      <c r="H28" s="161"/>
      <c r="I28" s="162"/>
    </row>
    <row r="31" spans="2:10" ht="45" customHeight="1" x14ac:dyDescent="0.3">
      <c r="B31" s="147" t="s">
        <v>69</v>
      </c>
      <c r="C31" s="147"/>
      <c r="D31" s="147"/>
      <c r="E31" s="147"/>
      <c r="F31" s="147"/>
      <c r="G31" s="147"/>
      <c r="H31" s="147"/>
      <c r="I31" s="147"/>
      <c r="J31" s="147"/>
    </row>
  </sheetData>
  <sheetProtection password="CC4A" sheet="1" objects="1" scenarios="1" selectLockedCells="1"/>
  <mergeCells count="22">
    <mergeCell ref="B1:J1"/>
    <mergeCell ref="B31:J31"/>
    <mergeCell ref="C9:E9"/>
    <mergeCell ref="G9:I9"/>
    <mergeCell ref="C10:E10"/>
    <mergeCell ref="G10:I10"/>
    <mergeCell ref="C24:I24"/>
    <mergeCell ref="C25:I28"/>
    <mergeCell ref="E12:G12"/>
    <mergeCell ref="E13:G13"/>
    <mergeCell ref="C18:E18"/>
    <mergeCell ref="G18:I18"/>
    <mergeCell ref="C19:E21"/>
    <mergeCell ref="G19:I21"/>
    <mergeCell ref="C15:E17"/>
    <mergeCell ref="G15:I17"/>
    <mergeCell ref="C3:E3"/>
    <mergeCell ref="C4:E4"/>
    <mergeCell ref="C5:E5"/>
    <mergeCell ref="G3:I3"/>
    <mergeCell ref="G4:I4"/>
    <mergeCell ref="G5:I5"/>
  </mergeCells>
  <conditionalFormatting sqref="E13:G13">
    <cfRule type="cellIs" dxfId="12" priority="1" operator="lessThan">
      <formula>1</formula>
    </cfRule>
    <cfRule type="cellIs" dxfId="11" priority="2" operator="equal">
      <formula>1</formula>
    </cfRule>
    <cfRule type="cellIs" dxfId="10" priority="3" operator="greaterThan">
      <formula>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FK483"/>
  <sheetViews>
    <sheetView zoomScale="85" zoomScaleNormal="85" workbookViewId="0">
      <selection activeCell="B12" sqref="B12"/>
    </sheetView>
  </sheetViews>
  <sheetFormatPr defaultRowHeight="15" x14ac:dyDescent="0.25"/>
  <cols>
    <col min="1" max="1" width="5" style="2" bestFit="1" customWidth="1"/>
    <col min="2" max="2" width="35" style="2" customWidth="1"/>
    <col min="3" max="3" width="21" style="2" customWidth="1"/>
    <col min="4" max="4" width="19.85546875" style="2" bestFit="1" customWidth="1"/>
    <col min="5" max="5" width="14.28515625" style="2" customWidth="1"/>
    <col min="6" max="6" width="14.140625" style="2" bestFit="1" customWidth="1"/>
    <col min="7" max="7" width="14.140625" style="2" customWidth="1"/>
    <col min="8" max="11" width="18.42578125" style="2" customWidth="1"/>
    <col min="12" max="12" width="17.28515625" style="27" bestFit="1" customWidth="1"/>
    <col min="13" max="13" width="14.7109375" style="2" bestFit="1" customWidth="1"/>
    <col min="14" max="14" width="17.7109375" style="2" customWidth="1"/>
    <col min="15" max="15" width="3" style="2" customWidth="1"/>
    <col min="16" max="16" width="3" style="2" hidden="1" customWidth="1"/>
    <col min="17" max="17" width="11.85546875" style="2" hidden="1" customWidth="1"/>
    <col min="18" max="19" width="9.140625" style="2" hidden="1" customWidth="1"/>
    <col min="20" max="20" width="11.85546875" style="2" hidden="1" customWidth="1"/>
    <col min="21" max="22" width="9.140625" style="2" hidden="1" customWidth="1"/>
    <col min="23" max="23" width="11.85546875" style="2" hidden="1" customWidth="1"/>
    <col min="24" max="26" width="9.140625" style="2" hidden="1" customWidth="1"/>
    <col min="27" max="28" width="9.140625" style="27" hidden="1" customWidth="1"/>
    <col min="29" max="29" width="23.42578125" style="27" hidden="1" customWidth="1"/>
    <col min="30" max="31" width="9.140625" style="27" hidden="1" customWidth="1"/>
    <col min="32" max="32" width="24.85546875" style="27" hidden="1" customWidth="1"/>
    <col min="33" max="33" width="9.140625" style="27" hidden="1" customWidth="1"/>
    <col min="34" max="118" width="9.140625" style="2" hidden="1" customWidth="1"/>
    <col min="119" max="168" width="0" style="2" hidden="1" customWidth="1"/>
    <col min="169" max="16384" width="9.140625" style="2"/>
  </cols>
  <sheetData>
    <row r="1" spans="2:167" ht="23.25" x14ac:dyDescent="0.25">
      <c r="B1" s="177" t="s">
        <v>0</v>
      </c>
      <c r="C1" s="177"/>
      <c r="D1" s="177"/>
      <c r="E1" s="177"/>
      <c r="F1" s="177"/>
      <c r="G1" s="177"/>
      <c r="H1" s="177"/>
      <c r="I1" s="177"/>
      <c r="J1" s="177"/>
      <c r="K1" s="177"/>
      <c r="L1" s="177"/>
      <c r="M1" s="177"/>
      <c r="N1" s="177"/>
    </row>
    <row r="2" spans="2:167" x14ac:dyDescent="0.25">
      <c r="L2" s="2"/>
    </row>
    <row r="3" spans="2:167" ht="21" x14ac:dyDescent="0.35">
      <c r="B3" s="178" t="s">
        <v>49</v>
      </c>
      <c r="C3" s="178"/>
      <c r="D3" s="178"/>
      <c r="E3" s="178"/>
      <c r="F3" s="178"/>
      <c r="G3" s="178"/>
      <c r="H3" s="178"/>
      <c r="I3" s="178"/>
      <c r="J3" s="178"/>
      <c r="K3" s="178"/>
      <c r="L3" s="178"/>
      <c r="M3" s="178"/>
      <c r="N3" s="178"/>
    </row>
    <row r="4" spans="2:167" x14ac:dyDescent="0.25">
      <c r="C4" s="35" t="s">
        <v>45</v>
      </c>
      <c r="D4" s="53"/>
      <c r="F4" s="29" t="s">
        <v>1</v>
      </c>
      <c r="G4" s="184">
        <f>'SGO calculation(Tiered or Simp)'!G3:I3</f>
        <v>0</v>
      </c>
      <c r="H4" s="185"/>
      <c r="J4" s="29" t="s">
        <v>72</v>
      </c>
      <c r="K4" s="17" t="e">
        <f>IF(AND(E11=0%,E14&gt;0%,E17&gt;0%),AD12,IF(AND(E14=0%,E11&gt;0%,E17&gt;0%),AD11,IF(AND(E11&gt;0%,E17=0%,E14&gt;0%),AD10,IF(AND(E11=0%,E14=0%,E17&gt;0%),AD15,IF(AND(E11=0%,E14&gt;0%,E17=0%),AD14,IF(AND(E11&gt;0%,E14=0%,E17=0%),AD13,AD9))))))</f>
        <v>#DIV/0!</v>
      </c>
      <c r="M4" s="29" t="s">
        <v>73</v>
      </c>
      <c r="N4" s="17" t="e">
        <f>IF(AND(E11=0%,E14&gt;0%,E17&gt;0%),AG12,IF(AND(E14=0%,E11&gt;0%,E17&gt;0%),AG11,IF(AND(E11&gt;0%,E17=0%,E14&gt;0%),AG10,IF(AND(E11=0%,E14=0%,E17&gt;0%),AG15,IF(AND(E11=0%,E14&gt;0%,E17=0%),AG14,IF(AND(E11&gt;0%,E14=0%,E17=0%),AG13,AG9))))))</f>
        <v>#DIV/0!</v>
      </c>
      <c r="Q4" s="36" t="s">
        <v>57</v>
      </c>
      <c r="R4" s="2">
        <v>1</v>
      </c>
      <c r="S4" s="2">
        <v>2</v>
      </c>
      <c r="T4" s="2">
        <v>3</v>
      </c>
      <c r="U4" s="2">
        <v>4</v>
      </c>
      <c r="V4" s="2">
        <v>5</v>
      </c>
      <c r="W4" s="2">
        <v>6</v>
      </c>
      <c r="X4" s="2">
        <v>7</v>
      </c>
      <c r="Y4" s="2">
        <v>8</v>
      </c>
      <c r="Z4" s="2">
        <v>9</v>
      </c>
      <c r="AA4" s="27">
        <v>10</v>
      </c>
      <c r="AB4" s="27">
        <v>11</v>
      </c>
      <c r="AC4" s="27">
        <v>12</v>
      </c>
      <c r="AD4" s="27">
        <v>13</v>
      </c>
      <c r="AE4" s="27">
        <v>14</v>
      </c>
      <c r="AF4" s="27">
        <v>15</v>
      </c>
      <c r="AG4" s="27">
        <v>16</v>
      </c>
      <c r="AH4" s="2">
        <v>17</v>
      </c>
      <c r="AI4" s="2">
        <v>18</v>
      </c>
      <c r="AJ4" s="2">
        <v>19</v>
      </c>
      <c r="AK4" s="2">
        <v>20</v>
      </c>
      <c r="AL4" s="2">
        <v>21</v>
      </c>
      <c r="AM4" s="2">
        <v>22</v>
      </c>
      <c r="AN4" s="2">
        <v>23</v>
      </c>
      <c r="AO4" s="2">
        <v>24</v>
      </c>
      <c r="AP4" s="2">
        <v>25</v>
      </c>
      <c r="AQ4" s="2">
        <v>26</v>
      </c>
      <c r="AR4" s="2">
        <v>27</v>
      </c>
      <c r="AS4" s="2">
        <v>28</v>
      </c>
      <c r="AT4" s="2">
        <v>29</v>
      </c>
      <c r="AU4" s="2">
        <v>30</v>
      </c>
      <c r="AV4" s="2">
        <v>31</v>
      </c>
      <c r="AW4" s="2">
        <v>32</v>
      </c>
      <c r="AX4" s="2">
        <v>33</v>
      </c>
      <c r="AY4" s="2">
        <v>34</v>
      </c>
      <c r="AZ4" s="2">
        <v>35</v>
      </c>
      <c r="BA4" s="2">
        <v>36</v>
      </c>
      <c r="BB4" s="2">
        <v>37</v>
      </c>
      <c r="BC4" s="2">
        <v>38</v>
      </c>
      <c r="BD4" s="2">
        <v>39</v>
      </c>
      <c r="BE4" s="2">
        <v>40</v>
      </c>
      <c r="BF4" s="2">
        <v>41</v>
      </c>
      <c r="BG4" s="2">
        <v>42</v>
      </c>
      <c r="BH4" s="2">
        <v>43</v>
      </c>
      <c r="BI4" s="2">
        <v>44</v>
      </c>
      <c r="BJ4" s="2">
        <v>45</v>
      </c>
      <c r="BK4" s="2">
        <v>46</v>
      </c>
      <c r="BL4" s="2">
        <v>47</v>
      </c>
      <c r="BM4" s="2">
        <v>48</v>
      </c>
      <c r="BN4" s="2">
        <v>49</v>
      </c>
      <c r="BO4" s="2">
        <v>50</v>
      </c>
      <c r="BP4" s="2">
        <v>51</v>
      </c>
      <c r="BQ4" s="2">
        <v>52</v>
      </c>
      <c r="BR4" s="2">
        <v>53</v>
      </c>
      <c r="BS4" s="2">
        <v>54</v>
      </c>
      <c r="BT4" s="2">
        <v>55</v>
      </c>
      <c r="BU4" s="2">
        <v>56</v>
      </c>
      <c r="BV4" s="2">
        <v>57</v>
      </c>
      <c r="BW4" s="2">
        <v>58</v>
      </c>
      <c r="BX4" s="2">
        <v>59</v>
      </c>
      <c r="BY4" s="2">
        <v>60</v>
      </c>
      <c r="BZ4" s="2">
        <v>61</v>
      </c>
      <c r="CA4" s="2">
        <v>62</v>
      </c>
      <c r="CB4" s="2">
        <v>63</v>
      </c>
      <c r="CC4" s="2">
        <v>64</v>
      </c>
      <c r="CD4" s="2">
        <v>65</v>
      </c>
      <c r="CE4" s="2">
        <v>66</v>
      </c>
      <c r="CF4" s="2">
        <v>67</v>
      </c>
      <c r="CG4" s="2">
        <v>68</v>
      </c>
      <c r="CH4" s="2">
        <v>69</v>
      </c>
      <c r="CI4" s="2">
        <v>70</v>
      </c>
      <c r="CJ4" s="2">
        <v>71</v>
      </c>
      <c r="CK4" s="2">
        <v>72</v>
      </c>
      <c r="CL4" s="2">
        <v>73</v>
      </c>
      <c r="CM4" s="2">
        <v>74</v>
      </c>
      <c r="CN4" s="2">
        <v>75</v>
      </c>
      <c r="CO4" s="2">
        <v>76</v>
      </c>
      <c r="CP4" s="2">
        <v>77</v>
      </c>
      <c r="CQ4" s="2">
        <v>78</v>
      </c>
      <c r="CR4" s="2">
        <v>79</v>
      </c>
      <c r="CS4" s="2">
        <v>80</v>
      </c>
      <c r="CT4" s="2">
        <v>81</v>
      </c>
      <c r="CU4" s="2">
        <v>82</v>
      </c>
      <c r="CV4" s="2">
        <v>83</v>
      </c>
      <c r="CW4" s="2">
        <v>84</v>
      </c>
      <c r="CX4" s="2">
        <v>85</v>
      </c>
      <c r="CY4" s="2">
        <v>86</v>
      </c>
      <c r="CZ4" s="2">
        <v>87</v>
      </c>
      <c r="DA4" s="2">
        <v>88</v>
      </c>
      <c r="DB4" s="2">
        <v>89</v>
      </c>
      <c r="DC4" s="2">
        <v>90</v>
      </c>
      <c r="DD4" s="2">
        <v>91</v>
      </c>
      <c r="DE4" s="2">
        <v>92</v>
      </c>
      <c r="DF4" s="2">
        <v>93</v>
      </c>
      <c r="DG4" s="2">
        <v>94</v>
      </c>
      <c r="DH4" s="2">
        <v>95</v>
      </c>
      <c r="DI4" s="2">
        <v>96</v>
      </c>
      <c r="DJ4" s="2">
        <v>97</v>
      </c>
      <c r="DK4" s="2">
        <v>98</v>
      </c>
      <c r="DL4" s="2">
        <v>99</v>
      </c>
      <c r="DM4" s="2">
        <v>100</v>
      </c>
      <c r="DN4" s="2">
        <v>101</v>
      </c>
      <c r="DO4" s="2">
        <v>102</v>
      </c>
      <c r="DP4" s="2">
        <v>103</v>
      </c>
      <c r="DQ4" s="2">
        <v>104</v>
      </c>
      <c r="DR4" s="2">
        <v>105</v>
      </c>
      <c r="DS4" s="2">
        <v>106</v>
      </c>
      <c r="DT4" s="2">
        <v>107</v>
      </c>
      <c r="DU4" s="2">
        <v>108</v>
      </c>
      <c r="DV4" s="2">
        <v>109</v>
      </c>
      <c r="DW4" s="2">
        <v>110</v>
      </c>
      <c r="DX4" s="2">
        <v>111</v>
      </c>
      <c r="DY4" s="2">
        <v>112</v>
      </c>
      <c r="DZ4" s="2">
        <v>113</v>
      </c>
      <c r="EA4" s="2">
        <v>114</v>
      </c>
      <c r="EB4" s="2">
        <v>115</v>
      </c>
      <c r="EC4" s="2">
        <v>116</v>
      </c>
      <c r="ED4" s="2">
        <v>117</v>
      </c>
      <c r="EE4" s="2">
        <v>118</v>
      </c>
      <c r="EF4" s="2">
        <v>119</v>
      </c>
      <c r="EG4" s="2">
        <v>120</v>
      </c>
      <c r="EH4" s="2">
        <v>121</v>
      </c>
      <c r="EI4" s="2">
        <v>122</v>
      </c>
      <c r="EJ4" s="2">
        <v>123</v>
      </c>
      <c r="EK4" s="2">
        <v>124</v>
      </c>
      <c r="EL4" s="2">
        <v>125</v>
      </c>
      <c r="EM4" s="2">
        <v>126</v>
      </c>
      <c r="EN4" s="2">
        <v>127</v>
      </c>
      <c r="EO4" s="2">
        <v>128</v>
      </c>
      <c r="EP4" s="2">
        <v>129</v>
      </c>
      <c r="EQ4" s="2">
        <v>130</v>
      </c>
      <c r="ER4" s="2">
        <v>131</v>
      </c>
      <c r="ES4" s="2">
        <v>132</v>
      </c>
      <c r="ET4" s="2">
        <v>133</v>
      </c>
      <c r="EU4" s="2">
        <v>134</v>
      </c>
      <c r="EV4" s="2">
        <v>135</v>
      </c>
      <c r="EW4" s="2">
        <v>136</v>
      </c>
      <c r="EX4" s="2">
        <v>137</v>
      </c>
      <c r="EY4" s="2">
        <v>138</v>
      </c>
      <c r="EZ4" s="2">
        <v>139</v>
      </c>
      <c r="FA4" s="2">
        <v>140</v>
      </c>
      <c r="FB4" s="2">
        <v>141</v>
      </c>
      <c r="FC4" s="2">
        <v>142</v>
      </c>
      <c r="FD4" s="2">
        <v>143</v>
      </c>
      <c r="FE4" s="2">
        <v>144</v>
      </c>
      <c r="FF4" s="2">
        <v>145</v>
      </c>
      <c r="FG4" s="2">
        <v>146</v>
      </c>
      <c r="FH4" s="2">
        <v>147</v>
      </c>
      <c r="FI4" s="2">
        <v>148</v>
      </c>
      <c r="FJ4" s="2">
        <v>149</v>
      </c>
      <c r="FK4" s="2">
        <v>150</v>
      </c>
    </row>
    <row r="5" spans="2:167" x14ac:dyDescent="0.25">
      <c r="C5" s="35" t="s">
        <v>46</v>
      </c>
      <c r="D5" s="53"/>
      <c r="F5" s="29" t="s">
        <v>31</v>
      </c>
      <c r="G5" s="184">
        <f>'SGO calculation(Tiered or Simp)'!G4:I4</f>
        <v>0</v>
      </c>
      <c r="H5" s="185"/>
      <c r="J5" s="29" t="s">
        <v>56</v>
      </c>
      <c r="K5" s="18"/>
      <c r="M5" s="29" t="s">
        <v>54</v>
      </c>
      <c r="N5" s="18"/>
    </row>
    <row r="6" spans="2:167" x14ac:dyDescent="0.25">
      <c r="C6" s="35" t="s">
        <v>47</v>
      </c>
      <c r="D6" s="53"/>
      <c r="F6" s="15"/>
      <c r="G6" s="8"/>
      <c r="J6" s="27"/>
    </row>
    <row r="7" spans="2:167" x14ac:dyDescent="0.25">
      <c r="C7" s="15"/>
      <c r="D7" s="27"/>
      <c r="E7" s="27"/>
      <c r="F7" s="27"/>
      <c r="G7" s="27"/>
      <c r="H7" s="27"/>
      <c r="I7" s="27"/>
    </row>
    <row r="8" spans="2:167" ht="21" x14ac:dyDescent="0.35">
      <c r="B8" s="178" t="s">
        <v>48</v>
      </c>
      <c r="C8" s="178"/>
      <c r="D8" s="178"/>
      <c r="E8" s="178"/>
      <c r="F8" s="178"/>
      <c r="G8" s="178"/>
      <c r="H8" s="178"/>
      <c r="I8" s="178"/>
      <c r="J8" s="178"/>
      <c r="K8" s="178"/>
      <c r="L8" s="178"/>
      <c r="M8" s="178"/>
      <c r="N8" s="178"/>
      <c r="Q8" s="30" t="s">
        <v>28</v>
      </c>
      <c r="R8" s="30"/>
      <c r="S8" s="30"/>
      <c r="T8" s="30"/>
      <c r="U8" s="30"/>
    </row>
    <row r="9" spans="2:167" x14ac:dyDescent="0.25">
      <c r="C9" s="40" t="s">
        <v>39</v>
      </c>
      <c r="D9" s="40" t="s">
        <v>2</v>
      </c>
      <c r="E9" s="40" t="s">
        <v>3</v>
      </c>
      <c r="F9" s="40" t="s">
        <v>4</v>
      </c>
      <c r="G9" s="40"/>
      <c r="H9" s="182" t="s">
        <v>5</v>
      </c>
      <c r="I9" s="182"/>
      <c r="J9" s="182"/>
      <c r="K9" s="182"/>
      <c r="L9" s="40" t="s">
        <v>10</v>
      </c>
      <c r="M9" s="40"/>
      <c r="N9" s="40"/>
      <c r="Q9" s="2" t="s">
        <v>25</v>
      </c>
      <c r="T9" s="2" t="s">
        <v>26</v>
      </c>
      <c r="W9" s="5"/>
      <c r="AC9" s="27" t="s">
        <v>64</v>
      </c>
      <c r="AD9" s="27" t="e">
        <f ca="1">(N11+N14+N17)/3</f>
        <v>#VALUE!</v>
      </c>
      <c r="AF9" s="27" t="s">
        <v>65</v>
      </c>
      <c r="AG9" s="27" t="e">
        <f ca="1">((E11*N11)+(E14*N14)+(E17*N17))</f>
        <v>#DIV/0!</v>
      </c>
    </row>
    <row r="10" spans="2:167" x14ac:dyDescent="0.25">
      <c r="C10" s="40"/>
      <c r="D10" s="40"/>
      <c r="E10" s="40"/>
      <c r="F10" s="40" t="s">
        <v>53</v>
      </c>
      <c r="G10" s="40"/>
      <c r="H10" s="40" t="s">
        <v>6</v>
      </c>
      <c r="I10" s="40" t="s">
        <v>7</v>
      </c>
      <c r="J10" s="40" t="s">
        <v>8</v>
      </c>
      <c r="K10" s="40" t="s">
        <v>9</v>
      </c>
      <c r="L10" s="40" t="s">
        <v>11</v>
      </c>
      <c r="M10" s="40"/>
      <c r="N10" s="40"/>
      <c r="Q10" s="2" t="s">
        <v>23</v>
      </c>
      <c r="R10" s="23" t="e">
        <f>R11</f>
        <v>#VALUE!</v>
      </c>
      <c r="S10" s="2" t="e">
        <f>TEXT(R10,"00.0%")</f>
        <v>#VALUE!</v>
      </c>
      <c r="T10" s="2" t="s">
        <v>23</v>
      </c>
      <c r="W10" s="5" t="e">
        <f>ROUNDDOWN(S10,2)</f>
        <v>#VALUE!</v>
      </c>
      <c r="X10" s="2" t="e">
        <f>TEXT(W10,"00%")</f>
        <v>#VALUE!</v>
      </c>
      <c r="AC10" s="27" t="s">
        <v>58</v>
      </c>
      <c r="AD10" s="27" t="e">
        <f ca="1">(N11+N14)/2</f>
        <v>#VALUE!</v>
      </c>
      <c r="AF10" s="27" t="s">
        <v>61</v>
      </c>
      <c r="AG10" s="27" t="e">
        <f ca="1">((E11*N11)+(E14*N14))</f>
        <v>#DIV/0!</v>
      </c>
    </row>
    <row r="11" spans="2:167" x14ac:dyDescent="0.25">
      <c r="B11" s="41" t="s">
        <v>18</v>
      </c>
      <c r="C11" s="180" t="s">
        <v>189</v>
      </c>
      <c r="D11" s="181">
        <f>COUNTA(B29:B178)</f>
        <v>0</v>
      </c>
      <c r="E11" s="183" t="e">
        <f>D11/D20</f>
        <v>#DIV/0!</v>
      </c>
      <c r="F11" s="44" t="e">
        <f>ROUND(F12/D11,2)</f>
        <v>#VALUE!</v>
      </c>
      <c r="G11" s="3"/>
      <c r="H11" s="39" t="e">
        <f>"Greater than "&amp;X10</f>
        <v>#VALUE!</v>
      </c>
      <c r="I11" s="38" t="e">
        <f>X12&amp;" to "&amp;X11</f>
        <v>#VALUE!</v>
      </c>
      <c r="J11" s="39" t="e">
        <f>X14&amp;" to "&amp;X13</f>
        <v>#VALUE!</v>
      </c>
      <c r="K11" s="39" t="e">
        <f>"Less than "&amp;X14</f>
        <v>#VALUE!</v>
      </c>
      <c r="L11" s="4" t="e">
        <f ca="1">L12/D11</f>
        <v>#DIV/0!</v>
      </c>
      <c r="M11" s="29" t="s">
        <v>190</v>
      </c>
      <c r="N11" s="21" t="e">
        <f ca="1">IF(AND(L12&gt;Y11,E11&gt;0%),"4",IF(AND(L12&gt;=Y12,E11&gt;0%),"3",IF(AND(L12&gt;=Y14,E11&gt;0%),"2",IF(AND(L12&gt;0,E11&gt;0%),"1","1"))))</f>
        <v>#VALUE!</v>
      </c>
      <c r="Q11" s="2" t="s">
        <v>19</v>
      </c>
      <c r="R11" s="5" t="e">
        <f>F11+(B12/2)</f>
        <v>#VALUE!</v>
      </c>
      <c r="S11" s="2" t="e">
        <f>TEXT(R11,"00.0%")</f>
        <v>#VALUE!</v>
      </c>
      <c r="T11" s="2" t="s">
        <v>19</v>
      </c>
      <c r="U11" s="2" t="e">
        <f>S11*D11</f>
        <v>#VALUE!</v>
      </c>
      <c r="V11" s="2" t="e">
        <f>ROUNDDOWN(U11,0)</f>
        <v>#VALUE!</v>
      </c>
      <c r="W11" s="5" t="e">
        <f>ROUNDDOWN(S11,2)</f>
        <v>#VALUE!</v>
      </c>
      <c r="X11" s="2" t="e">
        <f t="shared" ref="X11:X23" si="0">TEXT(W11,"00%")</f>
        <v>#VALUE!</v>
      </c>
      <c r="Y11" s="2" t="e">
        <f>V11</f>
        <v>#VALUE!</v>
      </c>
      <c r="AC11" s="27" t="s">
        <v>59</v>
      </c>
      <c r="AD11" s="27" t="e">
        <f ca="1">(N11+N17)/2</f>
        <v>#VALUE!</v>
      </c>
      <c r="AF11" s="27" t="s">
        <v>62</v>
      </c>
      <c r="AG11" s="27" t="e">
        <f ca="1">((E11*N11)+(E17*N17))</f>
        <v>#DIV/0!</v>
      </c>
    </row>
    <row r="12" spans="2:167" x14ac:dyDescent="0.25">
      <c r="B12" s="1">
        <v>0.15</v>
      </c>
      <c r="C12" s="180"/>
      <c r="D12" s="181"/>
      <c r="E12" s="181"/>
      <c r="F12" s="16" t="s">
        <v>57</v>
      </c>
      <c r="G12" s="3"/>
      <c r="H12" s="39" t="e">
        <f>"Greater Than "&amp;Y11</f>
        <v>#VALUE!</v>
      </c>
      <c r="I12" s="39" t="e">
        <f>Y12&amp;" to "&amp;Y11</f>
        <v>#VALUE!</v>
      </c>
      <c r="J12" s="39" t="e">
        <f>Y14&amp;" to "&amp;Y13</f>
        <v>#VALUE!</v>
      </c>
      <c r="K12" s="39" t="e">
        <f>"Less than "&amp;Y14</f>
        <v>#VALUE!</v>
      </c>
      <c r="L12" s="26">
        <f ca="1">COUNTIF(I29:I178,"Yes")</f>
        <v>0</v>
      </c>
      <c r="M12" s="29" t="s">
        <v>12</v>
      </c>
      <c r="N12" s="28"/>
      <c r="Q12" s="2" t="s">
        <v>20</v>
      </c>
      <c r="R12" s="5" t="e">
        <f>F11-(B12/2)</f>
        <v>#VALUE!</v>
      </c>
      <c r="S12" s="2" t="e">
        <f>TEXT(R12,"00.0%")</f>
        <v>#VALUE!</v>
      </c>
      <c r="T12" s="2" t="s">
        <v>20</v>
      </c>
      <c r="U12" s="2" t="e">
        <f>S12*D11</f>
        <v>#VALUE!</v>
      </c>
      <c r="V12" s="2" t="e">
        <f>ROUNDUP(U12,0)</f>
        <v>#VALUE!</v>
      </c>
      <c r="W12" s="5" t="e">
        <f>ROUNDUP(S12,2)</f>
        <v>#VALUE!</v>
      </c>
      <c r="X12" s="2" t="e">
        <f t="shared" si="0"/>
        <v>#VALUE!</v>
      </c>
      <c r="Y12" s="2" t="e">
        <f>IF(V12&gt;V11,V11,V12)</f>
        <v>#VALUE!</v>
      </c>
      <c r="AC12" s="27" t="s">
        <v>60</v>
      </c>
      <c r="AD12" s="27" t="e">
        <f ca="1">(N14+N17)/2</f>
        <v>#VALUE!</v>
      </c>
      <c r="AF12" s="27" t="s">
        <v>63</v>
      </c>
      <c r="AG12" s="27" t="e">
        <f ca="1">((E14*N14)+(E17*N17))</f>
        <v>#DIV/0!</v>
      </c>
    </row>
    <row r="13" spans="2:167" x14ac:dyDescent="0.25">
      <c r="C13" s="54"/>
      <c r="D13" s="14"/>
      <c r="E13" s="14"/>
      <c r="F13" s="27"/>
      <c r="G13" s="6"/>
      <c r="M13" s="29"/>
      <c r="N13" s="14"/>
      <c r="Q13" s="2" t="s">
        <v>21</v>
      </c>
      <c r="R13" s="5" t="e">
        <f>R12-0.0001</f>
        <v>#VALUE!</v>
      </c>
      <c r="S13" s="2" t="e">
        <f>TEXT(R13,"00.00%")</f>
        <v>#VALUE!</v>
      </c>
      <c r="T13" s="2" t="s">
        <v>21</v>
      </c>
      <c r="U13" s="2" t="e">
        <f>S13*D11</f>
        <v>#VALUE!</v>
      </c>
      <c r="V13" s="2" t="e">
        <f>ROUNDDOWN(U13,0)</f>
        <v>#VALUE!</v>
      </c>
      <c r="W13" s="5" t="e">
        <f>W12-1%</f>
        <v>#VALUE!</v>
      </c>
      <c r="X13" s="2" t="e">
        <f t="shared" si="0"/>
        <v>#VALUE!</v>
      </c>
      <c r="Y13" s="2" t="e">
        <f>V13</f>
        <v>#VALUE!</v>
      </c>
      <c r="AC13" s="27" t="s">
        <v>66</v>
      </c>
      <c r="AD13" s="27" t="e">
        <f ca="1">N11</f>
        <v>#VALUE!</v>
      </c>
      <c r="AF13" s="27" t="s">
        <v>66</v>
      </c>
      <c r="AG13" s="27" t="e">
        <f ca="1">N11</f>
        <v>#VALUE!</v>
      </c>
    </row>
    <row r="14" spans="2:167" x14ac:dyDescent="0.25">
      <c r="B14" s="41" t="s">
        <v>18</v>
      </c>
      <c r="C14" s="180" t="s">
        <v>55</v>
      </c>
      <c r="D14" s="181">
        <f>COUNTA(B181:B330)</f>
        <v>0</v>
      </c>
      <c r="E14" s="183" t="e">
        <f>D14/D20</f>
        <v>#DIV/0!</v>
      </c>
      <c r="F14" s="44" t="e">
        <f>ROUND(F15/D14,2)</f>
        <v>#VALUE!</v>
      </c>
      <c r="G14" s="3"/>
      <c r="H14" s="39" t="e">
        <f>"Greater than "&amp;X19</f>
        <v>#VALUE!</v>
      </c>
      <c r="I14" s="38" t="e">
        <f>X21&amp;" to "&amp;X20</f>
        <v>#VALUE!</v>
      </c>
      <c r="J14" s="39" t="e">
        <f>X23&amp;" to "&amp;X22</f>
        <v>#VALUE!</v>
      </c>
      <c r="K14" s="39" t="e">
        <f>"Less than "&amp;X23</f>
        <v>#VALUE!</v>
      </c>
      <c r="L14" s="4" t="e">
        <f ca="1">L15/D14</f>
        <v>#DIV/0!</v>
      </c>
      <c r="M14" s="29" t="s">
        <v>29</v>
      </c>
      <c r="N14" s="21" t="e">
        <f ca="1">IF(AND(L15&gt;Y20,E14&gt;0%),"4",IF(AND(L15&gt;=Y21,E14&gt;0%),"3",IF(AND(L15&gt;=Y23,E14&gt;0%),"2",IF(AND(L15&gt;0,E14&gt;0%),"1","1"))))</f>
        <v>#VALUE!</v>
      </c>
      <c r="Q14" s="2" t="s">
        <v>22</v>
      </c>
      <c r="R14" s="5" t="e">
        <f>R12-B12</f>
        <v>#VALUE!</v>
      </c>
      <c r="S14" s="2" t="e">
        <f>TEXT(R14,"00.0%")</f>
        <v>#VALUE!</v>
      </c>
      <c r="T14" s="2" t="s">
        <v>22</v>
      </c>
      <c r="U14" s="2" t="e">
        <f>S14*D11</f>
        <v>#VALUE!</v>
      </c>
      <c r="V14" s="2" t="e">
        <f>ROUNDUP(U14,0)</f>
        <v>#VALUE!</v>
      </c>
      <c r="W14" s="5" t="e">
        <f>ROUNDUP(S14,2)</f>
        <v>#VALUE!</v>
      </c>
      <c r="X14" s="2" t="e">
        <f t="shared" si="0"/>
        <v>#VALUE!</v>
      </c>
      <c r="Y14" s="2" t="e">
        <f>IF(V14&gt;V13,V13,V14)</f>
        <v>#VALUE!</v>
      </c>
      <c r="AC14" s="27" t="s">
        <v>67</v>
      </c>
      <c r="AD14" s="27" t="e">
        <f ca="1">N14</f>
        <v>#VALUE!</v>
      </c>
      <c r="AF14" s="27" t="s">
        <v>67</v>
      </c>
      <c r="AG14" s="27" t="e">
        <f ca="1">N14</f>
        <v>#VALUE!</v>
      </c>
    </row>
    <row r="15" spans="2:167" x14ac:dyDescent="0.25">
      <c r="B15" s="1">
        <v>0.15</v>
      </c>
      <c r="C15" s="180"/>
      <c r="D15" s="181"/>
      <c r="E15" s="181"/>
      <c r="F15" s="16" t="s">
        <v>57</v>
      </c>
      <c r="G15" s="3"/>
      <c r="H15" s="39" t="e">
        <f>"Greater Than "&amp;Y20</f>
        <v>#VALUE!</v>
      </c>
      <c r="I15" s="39" t="e">
        <f>Y21&amp;" to "&amp;Y20</f>
        <v>#VALUE!</v>
      </c>
      <c r="J15" s="39" t="e">
        <f>Y23&amp;" to "&amp;Y22</f>
        <v>#VALUE!</v>
      </c>
      <c r="K15" s="39" t="e">
        <f>"Less than "&amp;Y23</f>
        <v>#VALUE!</v>
      </c>
      <c r="L15" s="26">
        <f ca="1">COUNTIF(I181:I330,"Yes")</f>
        <v>0</v>
      </c>
      <c r="M15" s="29" t="s">
        <v>12</v>
      </c>
      <c r="N15" s="22"/>
      <c r="Q15" s="2" t="s">
        <v>24</v>
      </c>
      <c r="R15" s="5" t="e">
        <f>R14</f>
        <v>#VALUE!</v>
      </c>
      <c r="S15" s="2" t="e">
        <f>TEXT(R15,"00.0%")</f>
        <v>#VALUE!</v>
      </c>
      <c r="T15" s="2" t="s">
        <v>24</v>
      </c>
      <c r="W15" s="5"/>
      <c r="AC15" s="27" t="s">
        <v>68</v>
      </c>
      <c r="AD15" s="27" t="e">
        <f ca="1">N17</f>
        <v>#VALUE!</v>
      </c>
      <c r="AF15" s="27" t="s">
        <v>68</v>
      </c>
      <c r="AG15" s="27" t="e">
        <f ca="1">N17</f>
        <v>#VALUE!</v>
      </c>
    </row>
    <row r="16" spans="2:167" x14ac:dyDescent="0.25">
      <c r="C16" s="42"/>
      <c r="D16" s="55"/>
      <c r="E16" s="55"/>
      <c r="F16" s="8"/>
      <c r="G16" s="9"/>
      <c r="H16" s="7"/>
      <c r="I16" s="7"/>
      <c r="J16" s="7"/>
      <c r="K16" s="7"/>
      <c r="L16" s="7"/>
      <c r="M16" s="29"/>
      <c r="N16" s="14"/>
    </row>
    <row r="17" spans="1:33" x14ac:dyDescent="0.25">
      <c r="B17" s="41" t="s">
        <v>18</v>
      </c>
      <c r="C17" s="180" t="s">
        <v>38</v>
      </c>
      <c r="D17" s="181">
        <f>COUNTA(B333:B482)</f>
        <v>0</v>
      </c>
      <c r="E17" s="183" t="e">
        <f>D17/D20</f>
        <v>#DIV/0!</v>
      </c>
      <c r="F17" s="44" t="e">
        <f>ROUND(F18/D17,2)</f>
        <v>#VALUE!</v>
      </c>
      <c r="G17" s="3"/>
      <c r="H17" s="39" t="e">
        <f>"Greater than "&amp;X28</f>
        <v>#VALUE!</v>
      </c>
      <c r="I17" s="38" t="e">
        <f>X30&amp;" to "&amp;X29</f>
        <v>#VALUE!</v>
      </c>
      <c r="J17" s="39" t="e">
        <f>X32&amp;" to "&amp;X31</f>
        <v>#VALUE!</v>
      </c>
      <c r="K17" s="39" t="e">
        <f>"Less than "&amp;X32</f>
        <v>#VALUE!</v>
      </c>
      <c r="L17" s="4" t="e">
        <f ca="1">L18/D17</f>
        <v>#DIV/0!</v>
      </c>
      <c r="M17" s="29" t="s">
        <v>28</v>
      </c>
      <c r="N17" s="21" t="e">
        <f ca="1">IF(AND(L18&gt;Y29,E17&gt;0%),"4",IF(AND(L18&gt;=Y30,E17&gt;0%),"3",IF(AND(L18&gt;=Y32,E17&gt;0%),"2",IF(AND(L18&gt;0,E17&gt;0%),"1","1"))))</f>
        <v>#VALUE!</v>
      </c>
      <c r="Q17" s="30" t="s">
        <v>29</v>
      </c>
      <c r="R17" s="30"/>
      <c r="S17" s="30"/>
      <c r="T17" s="30"/>
      <c r="U17" s="30"/>
    </row>
    <row r="18" spans="1:33" x14ac:dyDescent="0.25">
      <c r="B18" s="1">
        <v>0.15</v>
      </c>
      <c r="C18" s="180"/>
      <c r="D18" s="181"/>
      <c r="E18" s="181"/>
      <c r="F18" s="16" t="s">
        <v>57</v>
      </c>
      <c r="G18" s="3"/>
      <c r="H18" s="39" t="e">
        <f>"Greater Than "&amp;Y29</f>
        <v>#VALUE!</v>
      </c>
      <c r="I18" s="39" t="e">
        <f>Y30&amp;" to "&amp;Y29</f>
        <v>#VALUE!</v>
      </c>
      <c r="J18" s="39" t="e">
        <f>Y32&amp;" to "&amp;Y31</f>
        <v>#VALUE!</v>
      </c>
      <c r="K18" s="39" t="e">
        <f>"Less than "&amp;Y32</f>
        <v>#VALUE!</v>
      </c>
      <c r="L18" s="26">
        <f ca="1">COUNTIF(I333:I482,"yes")</f>
        <v>0</v>
      </c>
      <c r="M18" s="29" t="s">
        <v>12</v>
      </c>
      <c r="N18" s="22"/>
      <c r="Q18" s="2" t="s">
        <v>25</v>
      </c>
      <c r="T18" s="2" t="s">
        <v>26</v>
      </c>
      <c r="U18" s="32"/>
      <c r="V18" s="32"/>
      <c r="W18" s="32"/>
      <c r="X18" s="32"/>
      <c r="Y18" s="32"/>
      <c r="Z18" s="32"/>
      <c r="AA18" s="59"/>
      <c r="AB18" s="59"/>
      <c r="AC18" s="59"/>
    </row>
    <row r="19" spans="1:33" s="6" customFormat="1" x14ac:dyDescent="0.25">
      <c r="C19" s="8"/>
      <c r="D19" s="8"/>
      <c r="E19" s="8"/>
      <c r="F19" s="9"/>
      <c r="G19" s="9"/>
      <c r="H19" s="9"/>
      <c r="I19" s="9"/>
      <c r="J19" s="9"/>
      <c r="K19" s="9"/>
      <c r="L19" s="8"/>
      <c r="M19" s="25"/>
      <c r="Q19" s="2" t="s">
        <v>23</v>
      </c>
      <c r="R19" s="23" t="e">
        <f>R20</f>
        <v>#VALUE!</v>
      </c>
      <c r="S19" s="2" t="e">
        <f>TEXT(R19,"00.00%")</f>
        <v>#VALUE!</v>
      </c>
      <c r="T19" s="2" t="s">
        <v>23</v>
      </c>
      <c r="U19" s="32"/>
      <c r="V19" s="33"/>
      <c r="W19" s="34" t="e">
        <f>ROUNDDOWN(R19,2)</f>
        <v>#VALUE!</v>
      </c>
      <c r="X19" s="32" t="e">
        <f t="shared" si="0"/>
        <v>#VALUE!</v>
      </c>
      <c r="Y19" s="33"/>
      <c r="Z19" s="33"/>
      <c r="AA19" s="60"/>
      <c r="AB19" s="60"/>
      <c r="AC19" s="60"/>
      <c r="AD19" s="61"/>
      <c r="AE19" s="61"/>
      <c r="AF19" s="61"/>
      <c r="AG19" s="61"/>
    </row>
    <row r="20" spans="1:33" s="6" customFormat="1" x14ac:dyDescent="0.25">
      <c r="C20" s="10" t="s">
        <v>17</v>
      </c>
      <c r="D20" s="10">
        <f>D11+D14+D17</f>
        <v>0</v>
      </c>
      <c r="E20" s="24" t="e">
        <f>ROUND(E11+E14+E17,0)</f>
        <v>#DIV/0!</v>
      </c>
      <c r="F20" s="9"/>
      <c r="G20" s="9"/>
      <c r="H20" s="9"/>
      <c r="I20" s="9"/>
      <c r="J20" s="9"/>
      <c r="K20" s="9"/>
      <c r="L20" s="8"/>
      <c r="Q20" s="2" t="s">
        <v>19</v>
      </c>
      <c r="R20" s="5" t="e">
        <f>F14+(B15/2)</f>
        <v>#VALUE!</v>
      </c>
      <c r="S20" s="2" t="e">
        <f>TEXT(R20,"00.00%")</f>
        <v>#VALUE!</v>
      </c>
      <c r="T20" s="2" t="s">
        <v>19</v>
      </c>
      <c r="U20" s="32" t="e">
        <f>D14*S20</f>
        <v>#VALUE!</v>
      </c>
      <c r="V20" s="33" t="e">
        <f>ROUNDDOWN(U20,0)</f>
        <v>#VALUE!</v>
      </c>
      <c r="W20" s="34" t="e">
        <f>ROUNDDOWN(R20,2)</f>
        <v>#VALUE!</v>
      </c>
      <c r="X20" s="32" t="e">
        <f t="shared" si="0"/>
        <v>#VALUE!</v>
      </c>
      <c r="Y20" s="33" t="e">
        <f>V20</f>
        <v>#VALUE!</v>
      </c>
      <c r="Z20" s="33"/>
      <c r="AA20" s="60"/>
      <c r="AB20" s="60"/>
      <c r="AC20" s="60"/>
      <c r="AD20" s="61"/>
      <c r="AE20" s="61"/>
      <c r="AF20" s="61"/>
      <c r="AG20" s="61"/>
    </row>
    <row r="21" spans="1:33" x14ac:dyDescent="0.25">
      <c r="C21" s="7"/>
      <c r="D21" s="7"/>
      <c r="E21" s="7"/>
      <c r="F21" s="9"/>
      <c r="G21" s="9"/>
      <c r="H21" s="11"/>
      <c r="I21" s="11"/>
      <c r="J21" s="11"/>
      <c r="K21" s="11"/>
      <c r="L21" s="7"/>
      <c r="Q21" s="2" t="s">
        <v>20</v>
      </c>
      <c r="R21" s="5" t="e">
        <f>F14-(B15/2)</f>
        <v>#VALUE!</v>
      </c>
      <c r="S21" s="2" t="e">
        <f>TEXT(R21,"00.00%")</f>
        <v>#VALUE!</v>
      </c>
      <c r="T21" s="2" t="s">
        <v>20</v>
      </c>
      <c r="U21" s="32" t="e">
        <f>D14*S21</f>
        <v>#VALUE!</v>
      </c>
      <c r="V21" s="33" t="e">
        <f>ROUNDUP(U21,0)</f>
        <v>#VALUE!</v>
      </c>
      <c r="W21" s="31" t="e">
        <f>ROUNDUP(R21,2)</f>
        <v>#VALUE!</v>
      </c>
      <c r="X21" s="32" t="e">
        <f t="shared" si="0"/>
        <v>#VALUE!</v>
      </c>
      <c r="Y21" s="32" t="e">
        <f>IF(V21&gt;V20,V20,V21)</f>
        <v>#VALUE!</v>
      </c>
      <c r="Z21" s="32"/>
      <c r="AA21" s="59"/>
      <c r="AB21" s="59"/>
      <c r="AC21" s="59"/>
    </row>
    <row r="22" spans="1:33" s="12" customFormat="1" ht="21" x14ac:dyDescent="0.35">
      <c r="A22" s="2"/>
      <c r="B22" s="178" t="s">
        <v>13</v>
      </c>
      <c r="C22" s="178"/>
      <c r="D22" s="178"/>
      <c r="E22" s="178"/>
      <c r="F22" s="178"/>
      <c r="G22" s="178"/>
      <c r="H22" s="178"/>
      <c r="I22" s="178"/>
      <c r="J22" s="178"/>
      <c r="K22" s="178"/>
      <c r="L22" s="178"/>
      <c r="M22" s="178"/>
      <c r="N22" s="178"/>
      <c r="Q22" s="2" t="s">
        <v>21</v>
      </c>
      <c r="R22" s="5" t="e">
        <f>R21-0.0001</f>
        <v>#VALUE!</v>
      </c>
      <c r="S22" s="2" t="e">
        <f>TEXT(R22,"00.00%")</f>
        <v>#VALUE!</v>
      </c>
      <c r="T22" s="2" t="s">
        <v>21</v>
      </c>
      <c r="U22" s="32" t="e">
        <f>D14*S22</f>
        <v>#VALUE!</v>
      </c>
      <c r="V22" s="33" t="e">
        <f t="shared" ref="V22" si="1">ROUNDDOWN(U22,0)</f>
        <v>#VALUE!</v>
      </c>
      <c r="W22" s="31" t="e">
        <f>W21-1%</f>
        <v>#VALUE!</v>
      </c>
      <c r="X22" s="32" t="e">
        <f t="shared" si="0"/>
        <v>#VALUE!</v>
      </c>
      <c r="Y22" s="32" t="e">
        <f>V22</f>
        <v>#VALUE!</v>
      </c>
      <c r="Z22" s="32"/>
      <c r="AA22" s="59"/>
      <c r="AB22" s="59"/>
      <c r="AC22" s="59"/>
      <c r="AD22" s="62"/>
      <c r="AE22" s="62"/>
      <c r="AF22" s="62"/>
      <c r="AG22" s="62"/>
    </row>
    <row r="23" spans="1:33" s="12" customFormat="1" x14ac:dyDescent="0.25">
      <c r="A23" s="2"/>
      <c r="B23" s="2"/>
      <c r="C23" s="2"/>
      <c r="D23" s="2"/>
      <c r="E23" s="2"/>
      <c r="F23" s="2"/>
      <c r="G23" s="2"/>
      <c r="H23" s="2"/>
      <c r="I23" s="2"/>
      <c r="J23" s="2"/>
      <c r="K23" s="2"/>
      <c r="L23" s="27"/>
      <c r="M23" s="2"/>
      <c r="N23" s="2"/>
      <c r="Q23" s="2" t="s">
        <v>22</v>
      </c>
      <c r="R23" s="5" t="e">
        <f>R21-B15</f>
        <v>#VALUE!</v>
      </c>
      <c r="S23" s="2" t="e">
        <f>TEXT(R23,"00.00%")</f>
        <v>#VALUE!</v>
      </c>
      <c r="T23" s="2" t="s">
        <v>22</v>
      </c>
      <c r="U23" s="32" t="e">
        <f>D14*S23</f>
        <v>#VALUE!</v>
      </c>
      <c r="V23" s="33" t="e">
        <f>ROUNDUP(U23,0)</f>
        <v>#VALUE!</v>
      </c>
      <c r="W23" s="31" t="e">
        <f>ROUNDUP(R23,2)</f>
        <v>#VALUE!</v>
      </c>
      <c r="X23" s="32" t="e">
        <f t="shared" si="0"/>
        <v>#VALUE!</v>
      </c>
      <c r="Y23" s="32" t="e">
        <f>IF(V23&gt;V22,V22,V23)</f>
        <v>#VALUE!</v>
      </c>
      <c r="Z23" s="32"/>
      <c r="AA23" s="59"/>
      <c r="AB23" s="59"/>
      <c r="AC23" s="59"/>
      <c r="AD23" s="62"/>
      <c r="AE23" s="62"/>
      <c r="AF23" s="62"/>
      <c r="AG23" s="62"/>
    </row>
    <row r="24" spans="1:33" ht="23.25" x14ac:dyDescent="0.35">
      <c r="B24" s="186" t="s">
        <v>15</v>
      </c>
      <c r="C24" s="186"/>
      <c r="D24" s="186"/>
      <c r="E24" s="186"/>
      <c r="F24" s="186"/>
      <c r="G24" s="186"/>
      <c r="H24" s="186"/>
      <c r="I24" s="186"/>
      <c r="J24" s="13"/>
      <c r="K24" s="13"/>
      <c r="L24" s="13"/>
      <c r="M24" s="13"/>
      <c r="N24" s="13"/>
      <c r="Q24" s="2" t="s">
        <v>24</v>
      </c>
      <c r="R24" s="5"/>
      <c r="S24" s="2" t="str">
        <f t="shared" ref="S24" si="2">TEXT(R24,"00%")</f>
        <v>00%</v>
      </c>
      <c r="T24" s="2" t="s">
        <v>24</v>
      </c>
      <c r="U24" s="32"/>
      <c r="V24" s="32"/>
      <c r="W24" s="32"/>
      <c r="X24" s="32"/>
      <c r="Y24" s="32"/>
      <c r="Z24" s="32"/>
      <c r="AA24" s="59"/>
      <c r="AB24" s="59"/>
      <c r="AC24" s="59"/>
    </row>
    <row r="25" spans="1:33" x14ac:dyDescent="0.25">
      <c r="B25" s="13"/>
      <c r="C25" s="13"/>
      <c r="D25" s="40"/>
      <c r="E25" s="40"/>
      <c r="F25" s="20" t="s">
        <v>27</v>
      </c>
      <c r="G25" s="135">
        <v>0.5</v>
      </c>
      <c r="H25" s="13"/>
      <c r="I25" s="13"/>
      <c r="J25" s="13"/>
      <c r="K25" s="13"/>
      <c r="L25" s="13"/>
      <c r="M25" s="13"/>
      <c r="N25" s="13"/>
      <c r="U25" s="32"/>
      <c r="V25" s="32"/>
      <c r="W25" s="32"/>
      <c r="X25" s="32"/>
      <c r="Y25" s="32"/>
      <c r="Z25" s="32"/>
      <c r="AA25" s="59"/>
      <c r="AB25" s="59"/>
      <c r="AC25" s="59"/>
    </row>
    <row r="26" spans="1:33" x14ac:dyDescent="0.25">
      <c r="B26" s="13"/>
      <c r="C26" s="13"/>
      <c r="D26" s="40"/>
      <c r="E26" s="40"/>
      <c r="F26" s="40"/>
      <c r="G26" s="40"/>
      <c r="H26" s="40"/>
      <c r="I26" s="40"/>
      <c r="J26" s="13"/>
      <c r="K26" s="13"/>
      <c r="L26" s="13"/>
      <c r="M26" s="13"/>
      <c r="N26" s="13"/>
      <c r="Q26" s="30" t="s">
        <v>30</v>
      </c>
      <c r="R26" s="30"/>
      <c r="S26" s="30"/>
      <c r="T26" s="30"/>
      <c r="U26" s="30"/>
    </row>
    <row r="27" spans="1:33" ht="18.75" x14ac:dyDescent="0.3">
      <c r="B27" s="19" t="s">
        <v>14</v>
      </c>
      <c r="C27" s="19" t="s">
        <v>39</v>
      </c>
      <c r="D27" s="40" t="s">
        <v>40</v>
      </c>
      <c r="E27" s="40" t="s">
        <v>41</v>
      </c>
      <c r="F27" s="40" t="s">
        <v>42</v>
      </c>
      <c r="G27" s="40" t="s">
        <v>43</v>
      </c>
      <c r="H27" s="40" t="s">
        <v>44</v>
      </c>
      <c r="I27" s="40" t="s">
        <v>16</v>
      </c>
      <c r="J27" s="175" t="s">
        <v>187</v>
      </c>
      <c r="K27" s="175"/>
      <c r="L27" s="175"/>
      <c r="M27" s="13"/>
      <c r="N27" s="13"/>
      <c r="Q27" s="2" t="s">
        <v>25</v>
      </c>
      <c r="T27" s="2" t="s">
        <v>26</v>
      </c>
    </row>
    <row r="28" spans="1:33" ht="21" x14ac:dyDescent="0.25">
      <c r="B28" s="179" t="s">
        <v>188</v>
      </c>
      <c r="C28" s="179"/>
      <c r="D28" s="179"/>
      <c r="E28" s="179"/>
      <c r="F28" s="179"/>
      <c r="G28" s="179"/>
      <c r="H28" s="179"/>
      <c r="I28" s="179"/>
      <c r="J28" s="45"/>
      <c r="K28" s="45"/>
      <c r="L28" s="45"/>
      <c r="M28" s="45"/>
      <c r="N28" s="43"/>
      <c r="Q28" s="2" t="s">
        <v>23</v>
      </c>
      <c r="R28" s="23" t="e">
        <f>R29</f>
        <v>#VALUE!</v>
      </c>
      <c r="S28" s="2" t="e">
        <f t="shared" ref="S28:S33" si="3">TEXT(R28,"00.00%")</f>
        <v>#VALUE!</v>
      </c>
      <c r="T28" s="2" t="s">
        <v>23</v>
      </c>
      <c r="U28" s="32"/>
      <c r="V28" s="33"/>
      <c r="W28" s="34" t="e">
        <f>ROUNDDOWN(R28,2)</f>
        <v>#VALUE!</v>
      </c>
      <c r="X28" s="32" t="e">
        <f t="shared" ref="X28:X32" si="4">TEXT(W28,"00%")</f>
        <v>#VALUE!</v>
      </c>
      <c r="Y28" s="33"/>
      <c r="AA28" s="27" t="s">
        <v>181</v>
      </c>
      <c r="AB28" s="27" t="s">
        <v>182</v>
      </c>
      <c r="AC28" s="27" t="s">
        <v>183</v>
      </c>
      <c r="AD28" s="27" t="s">
        <v>184</v>
      </c>
      <c r="AE28" s="27" t="s">
        <v>185</v>
      </c>
      <c r="AF28" s="27" t="s">
        <v>186</v>
      </c>
      <c r="AG28" s="27" t="s">
        <v>191</v>
      </c>
    </row>
    <row r="29" spans="1:33" x14ac:dyDescent="0.25">
      <c r="A29" s="2">
        <v>1</v>
      </c>
      <c r="B29" s="63"/>
      <c r="C29" s="56"/>
      <c r="D29" s="56"/>
      <c r="E29" s="56"/>
      <c r="F29" s="56"/>
      <c r="G29" s="56"/>
      <c r="H29" s="56"/>
      <c r="I29" s="39" t="str">
        <f ca="1">IF(AND(INDIRECT("H29")&gt;=INDIRECT("F29"),AA29=0,AB29=0,AC29=0,AF29=0),"Yes",IF(AND(INDIRECT("H29")&lt;INDIRECT("F29"),AA29=0,AB29=0,AC29=0,AF29=0),"No","N/A"))</f>
        <v>N/A</v>
      </c>
      <c r="J29" s="176" t="str">
        <f ca="1">IF(AND(AF29=0,AG29=0,AA29=0,AB29=0,AC29=0,AD29=0),"No Error",IF(AND(AF29=1,AG29=1,AA29=1,AB29=1,AC29=1,AD29=1),"No Error","Please supply all information"))</f>
        <v>No Error</v>
      </c>
      <c r="K29" s="176"/>
      <c r="L29" s="176"/>
      <c r="Q29" s="2" t="s">
        <v>19</v>
      </c>
      <c r="R29" s="5" t="e">
        <f>F17+(B18/2)</f>
        <v>#VALUE!</v>
      </c>
      <c r="S29" s="2" t="e">
        <f t="shared" si="3"/>
        <v>#VALUE!</v>
      </c>
      <c r="T29" s="2" t="s">
        <v>19</v>
      </c>
      <c r="U29" s="32" t="e">
        <f>D17*X29</f>
        <v>#VALUE!</v>
      </c>
      <c r="V29" s="33" t="e">
        <f>ROUNDDOWN(U29,0)</f>
        <v>#VALUE!</v>
      </c>
      <c r="W29" s="34" t="e">
        <f>ROUNDDOWN(R29,2)</f>
        <v>#VALUE!</v>
      </c>
      <c r="X29" s="32" t="e">
        <f t="shared" si="4"/>
        <v>#VALUE!</v>
      </c>
      <c r="Y29" s="33" t="e">
        <f>V29</f>
        <v>#VALUE!</v>
      </c>
      <c r="AA29" s="27">
        <f ca="1">COUNTBLANK(INDIRECT("C29"))</f>
        <v>1</v>
      </c>
      <c r="AB29" s="27">
        <f ca="1">COUNTBLANK(INDIRECT("D29"))</f>
        <v>1</v>
      </c>
      <c r="AC29" s="27">
        <f ca="1">COUNTBLANK(INDIRECT("E29"))</f>
        <v>1</v>
      </c>
      <c r="AD29" s="27">
        <f ca="1">COUNTBLANK(INDIRECT("F29"))</f>
        <v>1</v>
      </c>
      <c r="AE29" s="27">
        <f ca="1">COUNTBLANK(INDIRECT("G29"))</f>
        <v>1</v>
      </c>
      <c r="AF29" s="27">
        <f ca="1">COUNTBLANK(INDIRECT("H29"))</f>
        <v>1</v>
      </c>
      <c r="AG29" s="27">
        <f ca="1">COUNTBLANK(INDIRECT("B29"))</f>
        <v>1</v>
      </c>
    </row>
    <row r="30" spans="1:33" x14ac:dyDescent="0.25">
      <c r="A30" s="2">
        <v>2</v>
      </c>
      <c r="B30" s="63"/>
      <c r="C30" s="56"/>
      <c r="D30" s="56"/>
      <c r="E30" s="56"/>
      <c r="F30" s="56"/>
      <c r="G30" s="56"/>
      <c r="H30" s="56"/>
      <c r="I30" s="39" t="str">
        <f ca="1">IF(AND(INDIRECT("H30")&gt;=INDIRECT("F30"),AA30=0,AB30=0,AC30=0,AF30=0),"Yes",IF(AND(INDIRECT("H30")&lt;INDIRECT("F30"),AA30=0,AB30=0,AC30=0,AF30=0),"No","N/A"))</f>
        <v>N/A</v>
      </c>
      <c r="J30" s="176" t="str">
        <f t="shared" ref="J30:J41" ca="1" si="5">IF(AND(AF30=0,AG30=0,AA30=0,AB30=0,AC30=0,AD30=0),"No Error",IF(AND(AF30=1,AG30=1,AA30=1,AB30=1,AC30=1,AD30=1),"No Error","Please supply all information"))</f>
        <v>No Error</v>
      </c>
      <c r="K30" s="176"/>
      <c r="L30" s="176"/>
      <c r="Q30" s="2" t="s">
        <v>20</v>
      </c>
      <c r="R30" s="5" t="e">
        <f>F17-(B18/2)</f>
        <v>#VALUE!</v>
      </c>
      <c r="S30" s="2" t="e">
        <f t="shared" si="3"/>
        <v>#VALUE!</v>
      </c>
      <c r="T30" s="2" t="s">
        <v>20</v>
      </c>
      <c r="U30" s="32" t="e">
        <f>D17*X30</f>
        <v>#VALUE!</v>
      </c>
      <c r="V30" s="33" t="e">
        <f>ROUNDUP(U30,0)</f>
        <v>#VALUE!</v>
      </c>
      <c r="W30" s="31" t="e">
        <f>ROUNDUP(R30,2)</f>
        <v>#VALUE!</v>
      </c>
      <c r="X30" s="32" t="e">
        <f t="shared" si="4"/>
        <v>#VALUE!</v>
      </c>
      <c r="Y30" s="32" t="e">
        <f>IF(V30&gt;V29,V29,V30)</f>
        <v>#VALUE!</v>
      </c>
      <c r="AA30" s="27">
        <f ca="1">COUNTBLANK(INDIRECT("C30"))</f>
        <v>1</v>
      </c>
      <c r="AB30" s="27">
        <f ca="1">COUNTBLANK(INDIRECT("D30"))</f>
        <v>1</v>
      </c>
      <c r="AC30" s="27">
        <f ca="1">COUNTBLANK(INDIRECT("E30"))</f>
        <v>1</v>
      </c>
      <c r="AD30" s="27">
        <f ca="1">COUNTBLANK(INDIRECT("F30"))</f>
        <v>1</v>
      </c>
      <c r="AE30" s="27">
        <f ca="1">COUNTBLANK(INDIRECT("G30"))</f>
        <v>1</v>
      </c>
      <c r="AF30" s="27">
        <f ca="1">COUNTBLANK(INDIRECT("H30"))</f>
        <v>1</v>
      </c>
      <c r="AG30" s="27">
        <f ca="1">COUNTBLANK(INDIRECT("B30"))</f>
        <v>1</v>
      </c>
    </row>
    <row r="31" spans="1:33" x14ac:dyDescent="0.25">
      <c r="A31" s="2">
        <v>3</v>
      </c>
      <c r="B31" s="63"/>
      <c r="C31" s="56"/>
      <c r="D31" s="56"/>
      <c r="E31" s="56"/>
      <c r="F31" s="56"/>
      <c r="G31" s="56"/>
      <c r="H31" s="56"/>
      <c r="I31" s="39" t="str">
        <f ca="1">IF(AND(INDIRECT("H31")&gt;=INDIRECT("F31"),AA31=0,AB31=0,AC31=0,AF31=0),"Yes",IF(AND(INDIRECT("H31")&lt;INDIRECT("F31"),AA31=0,AB31=0,AC31=0,AF31=0),"No","N/A"))</f>
        <v>N/A</v>
      </c>
      <c r="J31" s="176" t="str">
        <f t="shared" ca="1" si="5"/>
        <v>No Error</v>
      </c>
      <c r="K31" s="176"/>
      <c r="L31" s="176"/>
      <c r="Q31" s="2" t="s">
        <v>21</v>
      </c>
      <c r="R31" s="5" t="e">
        <f>R30-0.0001</f>
        <v>#VALUE!</v>
      </c>
      <c r="S31" s="2" t="e">
        <f t="shared" si="3"/>
        <v>#VALUE!</v>
      </c>
      <c r="T31" s="2" t="s">
        <v>21</v>
      </c>
      <c r="U31" s="32" t="e">
        <f>D17*X31</f>
        <v>#VALUE!</v>
      </c>
      <c r="V31" s="33" t="e">
        <f t="shared" ref="V31" si="6">ROUNDDOWN(U31,0)</f>
        <v>#VALUE!</v>
      </c>
      <c r="W31" s="31" t="e">
        <f>W30-1%</f>
        <v>#VALUE!</v>
      </c>
      <c r="X31" s="32" t="e">
        <f t="shared" si="4"/>
        <v>#VALUE!</v>
      </c>
      <c r="Y31" s="32" t="e">
        <f>V31</f>
        <v>#VALUE!</v>
      </c>
      <c r="AA31" s="27">
        <f ca="1">COUNTBLANK(INDIRECT("C31"))</f>
        <v>1</v>
      </c>
      <c r="AB31" s="27">
        <f ca="1">COUNTBLANK(INDIRECT("D31"))</f>
        <v>1</v>
      </c>
      <c r="AC31" s="27">
        <f ca="1">COUNTBLANK(INDIRECT("E31"))</f>
        <v>1</v>
      </c>
      <c r="AD31" s="27">
        <f ca="1">COUNTBLANK(INDIRECT("F31"))</f>
        <v>1</v>
      </c>
      <c r="AE31" s="27">
        <f ca="1">COUNTBLANK(INDIRECT("G31"))</f>
        <v>1</v>
      </c>
      <c r="AF31" s="27">
        <f ca="1">COUNTBLANK(INDIRECT("H31"))</f>
        <v>1</v>
      </c>
      <c r="AG31" s="27">
        <f ca="1">COUNTBLANK(INDIRECT("B31"))</f>
        <v>1</v>
      </c>
    </row>
    <row r="32" spans="1:33" x14ac:dyDescent="0.25">
      <c r="A32" s="2">
        <v>4</v>
      </c>
      <c r="B32" s="63"/>
      <c r="C32" s="56"/>
      <c r="D32" s="56"/>
      <c r="E32" s="56"/>
      <c r="F32" s="56"/>
      <c r="G32" s="56"/>
      <c r="H32" s="56"/>
      <c r="I32" s="39" t="str">
        <f ca="1">IF(AND(INDIRECT("H32")&gt;=INDIRECT("F32"),AA32=0,AB32=0,AC32=0,AF32=0),"Yes",IF(AND(INDIRECT("H32")&lt;INDIRECT("F32"),AA32=0,AB32=0,AC32=0,AF32=0),"No","N/A"))</f>
        <v>N/A</v>
      </c>
      <c r="J32" s="176" t="str">
        <f t="shared" ca="1" si="5"/>
        <v>No Error</v>
      </c>
      <c r="K32" s="176"/>
      <c r="L32" s="176"/>
      <c r="Q32" s="2" t="s">
        <v>22</v>
      </c>
      <c r="R32" s="5" t="e">
        <f>R30-B18</f>
        <v>#VALUE!</v>
      </c>
      <c r="S32" s="2" t="e">
        <f t="shared" si="3"/>
        <v>#VALUE!</v>
      </c>
      <c r="T32" s="2" t="s">
        <v>22</v>
      </c>
      <c r="U32" s="32" t="e">
        <f>D17*X32</f>
        <v>#VALUE!</v>
      </c>
      <c r="V32" s="33" t="e">
        <f>ROUNDUP(U32,0)</f>
        <v>#VALUE!</v>
      </c>
      <c r="W32" s="31" t="e">
        <f>ROUNDUP(R32,2)</f>
        <v>#VALUE!</v>
      </c>
      <c r="X32" s="32" t="e">
        <f t="shared" si="4"/>
        <v>#VALUE!</v>
      </c>
      <c r="Y32" s="32" t="e">
        <f>IF(V32&gt;V31,V31,V32)</f>
        <v>#VALUE!</v>
      </c>
      <c r="AA32" s="27">
        <f ca="1">COUNTBLANK(INDIRECT("C32"))</f>
        <v>1</v>
      </c>
      <c r="AB32" s="27">
        <f ca="1">COUNTBLANK(INDIRECT("D32"))</f>
        <v>1</v>
      </c>
      <c r="AC32" s="27">
        <f ca="1">COUNTBLANK(INDIRECT("E32"))</f>
        <v>1</v>
      </c>
      <c r="AD32" s="27">
        <f ca="1">COUNTBLANK(INDIRECT("F32"))</f>
        <v>1</v>
      </c>
      <c r="AE32" s="27">
        <f ca="1">COUNTBLANK(INDIRECT("G32"))</f>
        <v>1</v>
      </c>
      <c r="AF32" s="27">
        <f ca="1">COUNTBLANK(INDIRECT("H32"))</f>
        <v>1</v>
      </c>
      <c r="AG32" s="27">
        <f ca="1">COUNTBLANK(INDIRECT("B32"))</f>
        <v>1</v>
      </c>
    </row>
    <row r="33" spans="1:33" x14ac:dyDescent="0.25">
      <c r="A33" s="2">
        <v>5</v>
      </c>
      <c r="B33" s="63"/>
      <c r="C33" s="56"/>
      <c r="D33" s="56"/>
      <c r="E33" s="56"/>
      <c r="F33" s="56"/>
      <c r="G33" s="56"/>
      <c r="H33" s="56"/>
      <c r="I33" s="39" t="str">
        <f ca="1">IF(AND(INDIRECT("H33")&gt;=INDIRECT("F33"),AA33=0,AB33=0,AC33=0,AF33=0),"Yes",IF(AND(INDIRECT("H33")&lt;INDIRECT("F33"),AA33=0,AB33=0,AC33=0,AF33=0),"No","N/A"))</f>
        <v>N/A</v>
      </c>
      <c r="J33" s="176" t="str">
        <f t="shared" ca="1" si="5"/>
        <v>No Error</v>
      </c>
      <c r="K33" s="176"/>
      <c r="L33" s="176"/>
      <c r="Q33" s="2" t="s">
        <v>24</v>
      </c>
      <c r="R33" s="5"/>
      <c r="S33" s="2" t="str">
        <f t="shared" si="3"/>
        <v>00.00%</v>
      </c>
      <c r="T33" s="2" t="s">
        <v>24</v>
      </c>
      <c r="AA33" s="27">
        <f ca="1">COUNTBLANK(INDIRECT("C33"))</f>
        <v>1</v>
      </c>
      <c r="AB33" s="27">
        <f ca="1">COUNTBLANK(INDIRECT("D33"))</f>
        <v>1</v>
      </c>
      <c r="AC33" s="27">
        <f ca="1">COUNTBLANK(INDIRECT("E33"))</f>
        <v>1</v>
      </c>
      <c r="AD33" s="27">
        <f ca="1">COUNTBLANK(INDIRECT("F33"))</f>
        <v>1</v>
      </c>
      <c r="AE33" s="27">
        <f ca="1">COUNTBLANK(INDIRECT("G33"))</f>
        <v>1</v>
      </c>
      <c r="AF33" s="27">
        <f ca="1">COUNTBLANK(INDIRECT("H33"))</f>
        <v>1</v>
      </c>
      <c r="AG33" s="27">
        <f ca="1">COUNTBLANK(INDIRECT("B33"))</f>
        <v>1</v>
      </c>
    </row>
    <row r="34" spans="1:33" x14ac:dyDescent="0.25">
      <c r="A34" s="2">
        <v>6</v>
      </c>
      <c r="B34" s="63"/>
      <c r="C34" s="56"/>
      <c r="D34" s="56"/>
      <c r="E34" s="56"/>
      <c r="F34" s="56"/>
      <c r="G34" s="56"/>
      <c r="H34" s="56"/>
      <c r="I34" s="39" t="str">
        <f ca="1">IF(AND(INDIRECT("H34")&gt;=INDIRECT("F34"),AA34=0,AB34=0,AC34=0,AF34=0),"Yes",IF(AND(INDIRECT("H34")&lt;INDIRECT("F34"),AA34=0,AB34=0,AC34=0,AF34=0),"No","N/A"))</f>
        <v>N/A</v>
      </c>
      <c r="J34" s="176" t="str">
        <f t="shared" ca="1" si="5"/>
        <v>No Error</v>
      </c>
      <c r="K34" s="176"/>
      <c r="L34" s="176"/>
      <c r="R34" s="5"/>
      <c r="AA34" s="27">
        <f ca="1">COUNTBLANK(INDIRECT("C34"))</f>
        <v>1</v>
      </c>
      <c r="AB34" s="27">
        <f ca="1">COUNTBLANK(INDIRECT("D34"))</f>
        <v>1</v>
      </c>
      <c r="AC34" s="27">
        <f ca="1">COUNTBLANK(INDIRECT("E34"))</f>
        <v>1</v>
      </c>
      <c r="AD34" s="27">
        <f ca="1">COUNTBLANK(INDIRECT("F34"))</f>
        <v>1</v>
      </c>
      <c r="AE34" s="27">
        <f ca="1">COUNTBLANK(INDIRECT("G34"))</f>
        <v>1</v>
      </c>
      <c r="AF34" s="27">
        <f ca="1">COUNTBLANK(INDIRECT("H34"))</f>
        <v>1</v>
      </c>
      <c r="AG34" s="27">
        <f ca="1">COUNTBLANK(INDIRECT("B34"))</f>
        <v>1</v>
      </c>
    </row>
    <row r="35" spans="1:33" x14ac:dyDescent="0.25">
      <c r="A35" s="2">
        <v>7</v>
      </c>
      <c r="B35" s="63"/>
      <c r="C35" s="56"/>
      <c r="D35" s="56"/>
      <c r="E35" s="56"/>
      <c r="F35" s="56"/>
      <c r="G35" s="56"/>
      <c r="H35" s="56"/>
      <c r="I35" s="39" t="str">
        <f ca="1">IF(AND(INDIRECT("H35")&gt;=INDIRECT("F35"),AA35=0,AB35=0,AC35=0,AF35=0),"Yes",IF(AND(INDIRECT("H35")&lt;INDIRECT("F35"),AA35=0,AB35=0,AC35=0,AF35=0),"No","N/A"))</f>
        <v>N/A</v>
      </c>
      <c r="J35" s="176" t="str">
        <f t="shared" ca="1" si="5"/>
        <v>No Error</v>
      </c>
      <c r="K35" s="176"/>
      <c r="L35" s="176"/>
      <c r="R35" s="5"/>
      <c r="AA35" s="27">
        <f ca="1">COUNTBLANK(INDIRECT("C35"))</f>
        <v>1</v>
      </c>
      <c r="AB35" s="27">
        <f ca="1">COUNTBLANK(INDIRECT("D35"))</f>
        <v>1</v>
      </c>
      <c r="AC35" s="27">
        <f ca="1">COUNTBLANK(INDIRECT("E35"))</f>
        <v>1</v>
      </c>
      <c r="AD35" s="27">
        <f ca="1">COUNTBLANK(INDIRECT("F35"))</f>
        <v>1</v>
      </c>
      <c r="AE35" s="27">
        <f ca="1">COUNTBLANK(INDIRECT("G35"))</f>
        <v>1</v>
      </c>
      <c r="AF35" s="27">
        <f ca="1">COUNTBLANK(INDIRECT("H35"))</f>
        <v>1</v>
      </c>
      <c r="AG35" s="27">
        <f ca="1">COUNTBLANK(INDIRECT("B35"))</f>
        <v>1</v>
      </c>
    </row>
    <row r="36" spans="1:33" x14ac:dyDescent="0.25">
      <c r="A36" s="2">
        <v>8</v>
      </c>
      <c r="B36" s="63"/>
      <c r="C36" s="56"/>
      <c r="D36" s="56"/>
      <c r="E36" s="56"/>
      <c r="F36" s="56"/>
      <c r="G36" s="56"/>
      <c r="H36" s="56"/>
      <c r="I36" s="39" t="str">
        <f ca="1">IF(AND(INDIRECT("H36")&gt;=INDIRECT("F36"),AA36=0,AB36=0,AC36=0,AF36=0),"Yes",IF(AND(INDIRECT("H36")&lt;INDIRECT("F36"),AA36=0,AB36=0,AC36=0,AF36=0),"No","N/A"))</f>
        <v>N/A</v>
      </c>
      <c r="J36" s="176" t="str">
        <f t="shared" ca="1" si="5"/>
        <v>No Error</v>
      </c>
      <c r="K36" s="176"/>
      <c r="L36" s="176"/>
      <c r="Q36" s="27"/>
      <c r="R36" s="125" t="s">
        <v>362</v>
      </c>
      <c r="S36" s="27" t="s">
        <v>363</v>
      </c>
      <c r="T36" s="27" t="s">
        <v>364</v>
      </c>
      <c r="U36" s="27" t="s">
        <v>365</v>
      </c>
      <c r="AA36" s="27">
        <f ca="1">COUNTBLANK(INDIRECT("C36"))</f>
        <v>1</v>
      </c>
      <c r="AB36" s="27">
        <f ca="1">COUNTBLANK(INDIRECT("D36"))</f>
        <v>1</v>
      </c>
      <c r="AC36" s="27">
        <f ca="1">COUNTBLANK(INDIRECT("E36"))</f>
        <v>1</v>
      </c>
      <c r="AD36" s="27">
        <f ca="1">COUNTBLANK(INDIRECT("F36"))</f>
        <v>1</v>
      </c>
      <c r="AE36" s="27">
        <f ca="1">COUNTBLANK(INDIRECT("G36"))</f>
        <v>1</v>
      </c>
      <c r="AF36" s="27">
        <f ca="1">COUNTBLANK(INDIRECT("H36"))</f>
        <v>1</v>
      </c>
      <c r="AG36" s="27">
        <f ca="1">COUNTBLANK(INDIRECT("B36"))</f>
        <v>1</v>
      </c>
    </row>
    <row r="37" spans="1:33" x14ac:dyDescent="0.25">
      <c r="A37" s="2">
        <v>9</v>
      </c>
      <c r="B37" s="63"/>
      <c r="C37" s="56"/>
      <c r="D37" s="56"/>
      <c r="E37" s="56"/>
      <c r="F37" s="56"/>
      <c r="G37" s="56"/>
      <c r="H37" s="56"/>
      <c r="I37" s="39" t="str">
        <f ca="1">IF(AND(INDIRECT("H37")&gt;=INDIRECT("F37"),AA37=0,AB37=0,AC37=0,AF37=0),"Yes",IF(AND(INDIRECT("H37")&lt;INDIRECT("F37"),AA37=0,AB37=0,AC37=0,AF37=0),"No","N/A"))</f>
        <v>N/A</v>
      </c>
      <c r="J37" s="176" t="str">
        <f t="shared" ca="1" si="5"/>
        <v>No Error</v>
      </c>
      <c r="K37" s="176"/>
      <c r="L37" s="176"/>
      <c r="Q37" s="27" t="s">
        <v>361</v>
      </c>
      <c r="R37" s="126">
        <f ca="1">MAX(INDIRECT("F29:F178"))</f>
        <v>0</v>
      </c>
      <c r="S37" s="126">
        <f ca="1">MIN(INDIRECT("F29:F178"))</f>
        <v>0</v>
      </c>
      <c r="T37" s="126">
        <f ca="1">R37-S37</f>
        <v>0</v>
      </c>
      <c r="U37" s="27" t="str">
        <f ca="1">S37&amp;" to "&amp;R37</f>
        <v>0 to 0</v>
      </c>
      <c r="AA37" s="27">
        <f ca="1">COUNTBLANK(INDIRECT("C37"))</f>
        <v>1</v>
      </c>
      <c r="AB37" s="27">
        <f ca="1">COUNTBLANK(INDIRECT("D37"))</f>
        <v>1</v>
      </c>
      <c r="AC37" s="27">
        <f ca="1">COUNTBLANK(INDIRECT("E37"))</f>
        <v>1</v>
      </c>
      <c r="AD37" s="27">
        <f ca="1">COUNTBLANK(INDIRECT("F37"))</f>
        <v>1</v>
      </c>
      <c r="AE37" s="27">
        <f ca="1">COUNTBLANK(INDIRECT("G37"))</f>
        <v>1</v>
      </c>
      <c r="AF37" s="27">
        <f ca="1">COUNTBLANK(INDIRECT("H37"))</f>
        <v>1</v>
      </c>
      <c r="AG37" s="27">
        <f ca="1">COUNTBLANK(INDIRECT("B37"))</f>
        <v>1</v>
      </c>
    </row>
    <row r="38" spans="1:33" x14ac:dyDescent="0.25">
      <c r="A38" s="2">
        <v>10</v>
      </c>
      <c r="B38" s="63"/>
      <c r="C38" s="56"/>
      <c r="D38" s="56"/>
      <c r="E38" s="56"/>
      <c r="F38" s="56"/>
      <c r="G38" s="56"/>
      <c r="H38" s="56"/>
      <c r="I38" s="105" t="str">
        <f ca="1">IF(AND(INDIRECT("H38")&gt;=INDIRECT("F38"),AA38=0,AB38=0,AC38=0,AF38=0),"Yes",IF(AND(INDIRECT("H38")&lt;INDIRECT("F38"),AA38=0,AB38=0,AC38=0,AF38=0),"No","N/A"))</f>
        <v>N/A</v>
      </c>
      <c r="J38" s="176" t="str">
        <f t="shared" ca="1" si="5"/>
        <v>No Error</v>
      </c>
      <c r="K38" s="176"/>
      <c r="L38" s="176"/>
      <c r="Q38" s="27" t="s">
        <v>55</v>
      </c>
      <c r="R38" s="126">
        <f ca="1">MAX(INDIRECT("f181:f330"))</f>
        <v>0</v>
      </c>
      <c r="S38" s="126">
        <f ca="1">MIN(INDIRECT("f181:f330"))</f>
        <v>0</v>
      </c>
      <c r="T38" s="126">
        <f t="shared" ref="T38:T39" ca="1" si="7">R38-S38</f>
        <v>0</v>
      </c>
      <c r="U38" s="27" t="str">
        <f t="shared" ref="U38:U39" ca="1" si="8">S38&amp;" to "&amp;R38</f>
        <v>0 to 0</v>
      </c>
      <c r="AA38" s="27">
        <f ca="1">COUNTBLANK(INDIRECT("C38"))</f>
        <v>1</v>
      </c>
      <c r="AB38" s="27">
        <f ca="1">COUNTBLANK(INDIRECT("D38"))</f>
        <v>1</v>
      </c>
      <c r="AC38" s="27">
        <f ca="1">COUNTBLANK(INDIRECT("E38"))</f>
        <v>1</v>
      </c>
      <c r="AD38" s="27">
        <f ca="1">COUNTBLANK(INDIRECT("F38"))</f>
        <v>1</v>
      </c>
      <c r="AE38" s="27">
        <f ca="1">COUNTBLANK(INDIRECT("G38"))</f>
        <v>1</v>
      </c>
      <c r="AF38" s="27">
        <f ca="1">COUNTBLANK(INDIRECT("H38"))</f>
        <v>1</v>
      </c>
      <c r="AG38" s="27">
        <f ca="1">COUNTBLANK(INDIRECT("B38"))</f>
        <v>1</v>
      </c>
    </row>
    <row r="39" spans="1:33" x14ac:dyDescent="0.25">
      <c r="A39" s="2">
        <v>11</v>
      </c>
      <c r="B39" s="63"/>
      <c r="C39" s="56"/>
      <c r="D39" s="56"/>
      <c r="E39" s="56"/>
      <c r="F39" s="56"/>
      <c r="G39" s="56"/>
      <c r="H39" s="56"/>
      <c r="I39" s="105" t="str">
        <f ca="1">IF(AND(INDIRECT("H39")&gt;=INDIRECT("F39"),AA39=0,AB39=0,AC39=0,AF39=0),"Yes",IF(AND(INDIRECT("H39")&lt;INDIRECT("F39"),AA39=0,AB39=0,AC39=0,AF39=0),"No","N/A"))</f>
        <v>N/A</v>
      </c>
      <c r="J39" s="176" t="str">
        <f t="shared" ca="1" si="5"/>
        <v>No Error</v>
      </c>
      <c r="K39" s="176"/>
      <c r="L39" s="176"/>
      <c r="Q39" s="27" t="s">
        <v>38</v>
      </c>
      <c r="R39" s="126">
        <f ca="1">MAX(INDIRECT("f333:f482"))</f>
        <v>0</v>
      </c>
      <c r="S39" s="126">
        <f ca="1">MIN(INDIRECT("f333:f482"))</f>
        <v>0</v>
      </c>
      <c r="T39" s="126">
        <f t="shared" ca="1" si="7"/>
        <v>0</v>
      </c>
      <c r="U39" s="27" t="str">
        <f t="shared" ca="1" si="8"/>
        <v>0 to 0</v>
      </c>
      <c r="AA39" s="27">
        <f ca="1">COUNTBLANK(INDIRECT("C39"))</f>
        <v>1</v>
      </c>
      <c r="AB39" s="27">
        <f ca="1">COUNTBLANK(INDIRECT("D39"))</f>
        <v>1</v>
      </c>
      <c r="AC39" s="27">
        <f ca="1">COUNTBLANK(INDIRECT("E39"))</f>
        <v>1</v>
      </c>
      <c r="AD39" s="27">
        <f ca="1">COUNTBLANK(INDIRECT("F39"))</f>
        <v>1</v>
      </c>
      <c r="AE39" s="27">
        <f ca="1">COUNTBLANK(INDIRECT("G39"))</f>
        <v>1</v>
      </c>
      <c r="AF39" s="27">
        <f ca="1">COUNTBLANK(INDIRECT("H39"))</f>
        <v>1</v>
      </c>
      <c r="AG39" s="27">
        <f ca="1">COUNTBLANK(INDIRECT("B39"))</f>
        <v>1</v>
      </c>
    </row>
    <row r="40" spans="1:33" x14ac:dyDescent="0.25">
      <c r="A40" s="2">
        <v>12</v>
      </c>
      <c r="B40" s="63"/>
      <c r="C40" s="56"/>
      <c r="D40" s="56"/>
      <c r="E40" s="56"/>
      <c r="F40" s="56"/>
      <c r="G40" s="56"/>
      <c r="H40" s="56"/>
      <c r="I40" s="105" t="str">
        <f ca="1">IF(AND(INDIRECT("H40")&gt;=INDIRECT("F40"),AA40=0,AB40=0,AC40=0,AF40=0),"Yes",IF(AND(INDIRECT("H40")&lt;INDIRECT("F40"),AA40=0,AB40=0,AC40=0,AF40=0),"No","N/A"))</f>
        <v>N/A</v>
      </c>
      <c r="J40" s="176" t="str">
        <f t="shared" ca="1" si="5"/>
        <v>No Error</v>
      </c>
      <c r="K40" s="176"/>
      <c r="L40" s="176"/>
      <c r="R40" s="5"/>
      <c r="AA40" s="27">
        <f ca="1">COUNTBLANK(INDIRECT("C40"))</f>
        <v>1</v>
      </c>
      <c r="AB40" s="27">
        <f ca="1">COUNTBLANK(INDIRECT("D40"))</f>
        <v>1</v>
      </c>
      <c r="AC40" s="27">
        <f ca="1">COUNTBLANK(INDIRECT("E40"))</f>
        <v>1</v>
      </c>
      <c r="AD40" s="27">
        <f ca="1">COUNTBLANK(INDIRECT("F40"))</f>
        <v>1</v>
      </c>
      <c r="AE40" s="27">
        <f ca="1">COUNTBLANK(INDIRECT("G40"))</f>
        <v>1</v>
      </c>
      <c r="AF40" s="27">
        <f ca="1">COUNTBLANK(INDIRECT("H40"))</f>
        <v>1</v>
      </c>
      <c r="AG40" s="27">
        <f ca="1">COUNTBLANK(INDIRECT("B40"))</f>
        <v>1</v>
      </c>
    </row>
    <row r="41" spans="1:33" x14ac:dyDescent="0.25">
      <c r="A41" s="2">
        <v>13</v>
      </c>
      <c r="B41" s="63"/>
      <c r="C41" s="56"/>
      <c r="D41" s="56"/>
      <c r="E41" s="56"/>
      <c r="F41" s="56"/>
      <c r="G41" s="56"/>
      <c r="H41" s="56"/>
      <c r="I41" s="106" t="str">
        <f ca="1">IF(AND(INDIRECT("H41")&gt;=INDIRECT("F41"),AA41=0,AB41=0,AC41=0,AF41=0),"Yes",IF(AND(INDIRECT("H41")&lt;INDIRECT("F41"),AA41=0,AB41=0,AC41=0,AF41=0),"No","N/A"))</f>
        <v>N/A</v>
      </c>
      <c r="J41" s="176" t="str">
        <f t="shared" ca="1" si="5"/>
        <v>No Error</v>
      </c>
      <c r="K41" s="176"/>
      <c r="L41" s="176"/>
      <c r="R41" s="5"/>
      <c r="AA41" s="27">
        <f ca="1">COUNTBLANK(INDIRECT("C41"))</f>
        <v>1</v>
      </c>
      <c r="AB41" s="27">
        <f ca="1">COUNTBLANK(INDIRECT("D41"))</f>
        <v>1</v>
      </c>
      <c r="AC41" s="27">
        <f ca="1">COUNTBLANK(INDIRECT("E41"))</f>
        <v>1</v>
      </c>
      <c r="AD41" s="27">
        <f ca="1">COUNTBLANK(INDIRECT("F41"))</f>
        <v>1</v>
      </c>
      <c r="AE41" s="27">
        <f ca="1">COUNTBLANK(INDIRECT("G41"))</f>
        <v>1</v>
      </c>
      <c r="AF41" s="27">
        <f ca="1">COUNTBLANK(INDIRECT("H41"))</f>
        <v>1</v>
      </c>
      <c r="AG41" s="27">
        <f ca="1">COUNTBLANK(INDIRECT("B41"))</f>
        <v>1</v>
      </c>
    </row>
    <row r="42" spans="1:33" x14ac:dyDescent="0.25">
      <c r="A42" s="2">
        <v>14</v>
      </c>
      <c r="B42" s="63"/>
      <c r="C42" s="56"/>
      <c r="D42" s="56"/>
      <c r="E42" s="56"/>
      <c r="F42" s="56"/>
      <c r="G42" s="56"/>
      <c r="H42" s="56"/>
      <c r="I42" s="106" t="str">
        <f ca="1">IF(AND(INDIRECT("H42")&gt;=INDIRECT("F42"),AA42=0,AB42=0,AC42=0,AF42=0),"Yes",IF(AND(INDIRECT("H42")&lt;INDIRECT("F42"),AA42=0,AB42=0,AC42=0,AF42=0),"No","N/A"))</f>
        <v>N/A</v>
      </c>
      <c r="J42" s="176" t="str">
        <f t="shared" ref="J42:J105" ca="1" si="9">IF(AND(AF42=0,AG42=0,AA42=0,AB42=0,AC42=0,AD42=0),"No Error",IF(AND(AF42=1,AG42=1,AA42=1,AB42=1,AC42=1,AD42=1),"No Error","Please supply all information"))</f>
        <v>No Error</v>
      </c>
      <c r="K42" s="176"/>
      <c r="L42" s="176"/>
      <c r="R42" s="5"/>
      <c r="AA42" s="27">
        <f ca="1">COUNTBLANK(INDIRECT("C42"))</f>
        <v>1</v>
      </c>
      <c r="AB42" s="27">
        <f ca="1">COUNTBLANK(INDIRECT("D42"))</f>
        <v>1</v>
      </c>
      <c r="AC42" s="27">
        <f ca="1">COUNTBLANK(INDIRECT("E42"))</f>
        <v>1</v>
      </c>
      <c r="AD42" s="27">
        <f ca="1">COUNTBLANK(INDIRECT("F42"))</f>
        <v>1</v>
      </c>
      <c r="AE42" s="27">
        <f ca="1">COUNTBLANK(INDIRECT("G42"))</f>
        <v>1</v>
      </c>
      <c r="AF42" s="27">
        <f ca="1">COUNTBLANK(INDIRECT("H42"))</f>
        <v>1</v>
      </c>
      <c r="AG42" s="27">
        <f ca="1">COUNTBLANK(INDIRECT("B42"))</f>
        <v>1</v>
      </c>
    </row>
    <row r="43" spans="1:33" x14ac:dyDescent="0.25">
      <c r="A43" s="2">
        <v>15</v>
      </c>
      <c r="B43" s="63"/>
      <c r="C43" s="56"/>
      <c r="D43" s="56"/>
      <c r="E43" s="56"/>
      <c r="F43" s="56"/>
      <c r="G43" s="56"/>
      <c r="H43" s="56"/>
      <c r="I43" s="106" t="str">
        <f ca="1">IF(AND(INDIRECT("H43")&gt;=INDIRECT("F43"),AA43=0,AB43=0,AC43=0,AF43=0),"Yes",IF(AND(INDIRECT("H43")&lt;INDIRECT("F43"),AA43=0,AB43=0,AC43=0,AF43=0),"No","N/A"))</f>
        <v>N/A</v>
      </c>
      <c r="J43" s="176" t="str">
        <f t="shared" ca="1" si="9"/>
        <v>No Error</v>
      </c>
      <c r="K43" s="176"/>
      <c r="L43" s="176"/>
      <c r="R43" s="5"/>
      <c r="AA43" s="27">
        <f ca="1">COUNTBLANK(INDIRECT("C43"))</f>
        <v>1</v>
      </c>
      <c r="AB43" s="27">
        <f ca="1">COUNTBLANK(INDIRECT("D43"))</f>
        <v>1</v>
      </c>
      <c r="AC43" s="27">
        <f ca="1">COUNTBLANK(INDIRECT("E43"))</f>
        <v>1</v>
      </c>
      <c r="AD43" s="27">
        <f ca="1">COUNTBLANK(INDIRECT("F43"))</f>
        <v>1</v>
      </c>
      <c r="AE43" s="27">
        <f ca="1">COUNTBLANK(INDIRECT("G43"))</f>
        <v>1</v>
      </c>
      <c r="AF43" s="27">
        <f ca="1">COUNTBLANK(INDIRECT("H43"))</f>
        <v>1</v>
      </c>
      <c r="AG43" s="27">
        <f ca="1">COUNTBLANK(INDIRECT("B43"))</f>
        <v>1</v>
      </c>
    </row>
    <row r="44" spans="1:33" x14ac:dyDescent="0.25">
      <c r="A44" s="2">
        <v>16</v>
      </c>
      <c r="B44" s="63"/>
      <c r="C44" s="56"/>
      <c r="D44" s="56"/>
      <c r="E44" s="56"/>
      <c r="F44" s="56"/>
      <c r="G44" s="56"/>
      <c r="H44" s="56"/>
      <c r="I44" s="106" t="str">
        <f ca="1">IF(AND(INDIRECT("H44")&gt;=INDIRECT("F44"),AA44=0,AB44=0,AC44=0,AF44=0),"Yes",IF(AND(INDIRECT("H44")&lt;INDIRECT("F44"),AA44=0,AB44=0,AC44=0,AF44=0),"No","N/A"))</f>
        <v>N/A</v>
      </c>
      <c r="J44" s="176" t="str">
        <f t="shared" ca="1" si="9"/>
        <v>No Error</v>
      </c>
      <c r="K44" s="176"/>
      <c r="L44" s="176"/>
      <c r="R44" s="5"/>
      <c r="AA44" s="27">
        <f ca="1">COUNTBLANK(INDIRECT("C44"))</f>
        <v>1</v>
      </c>
      <c r="AB44" s="27">
        <f ca="1">COUNTBLANK(INDIRECT("D44"))</f>
        <v>1</v>
      </c>
      <c r="AC44" s="27">
        <f ca="1">COUNTBLANK(INDIRECT("E44"))</f>
        <v>1</v>
      </c>
      <c r="AD44" s="27">
        <f ca="1">COUNTBLANK(INDIRECT("F44"))</f>
        <v>1</v>
      </c>
      <c r="AE44" s="27">
        <f ca="1">COUNTBLANK(INDIRECT("G44"))</f>
        <v>1</v>
      </c>
      <c r="AF44" s="27">
        <f ca="1">COUNTBLANK(INDIRECT("H44"))</f>
        <v>1</v>
      </c>
      <c r="AG44" s="27">
        <f ca="1">COUNTBLANK(INDIRECT("B44"))</f>
        <v>1</v>
      </c>
    </row>
    <row r="45" spans="1:33" x14ac:dyDescent="0.25">
      <c r="A45" s="2">
        <v>17</v>
      </c>
      <c r="B45" s="63"/>
      <c r="C45" s="56"/>
      <c r="D45" s="56"/>
      <c r="E45" s="56"/>
      <c r="F45" s="56"/>
      <c r="G45" s="56"/>
      <c r="H45" s="56"/>
      <c r="I45" s="106" t="str">
        <f ca="1">IF(AND(INDIRECT("H45")&gt;=INDIRECT("F45"),AA45=0,AB45=0,AC45=0,AF45=0),"Yes",IF(AND(INDIRECT("H45")&lt;INDIRECT("F45"),AA45=0,AB45=0,AC45=0,AF45=0),"No","N/A"))</f>
        <v>N/A</v>
      </c>
      <c r="J45" s="176" t="str">
        <f t="shared" ca="1" si="9"/>
        <v>No Error</v>
      </c>
      <c r="K45" s="176"/>
      <c r="L45" s="176"/>
      <c r="R45" s="5"/>
      <c r="AA45" s="27">
        <f ca="1">COUNTBLANK(INDIRECT("C45"))</f>
        <v>1</v>
      </c>
      <c r="AB45" s="27">
        <f ca="1">COUNTBLANK(INDIRECT("D45"))</f>
        <v>1</v>
      </c>
      <c r="AC45" s="27">
        <f ca="1">COUNTBLANK(INDIRECT("E45"))</f>
        <v>1</v>
      </c>
      <c r="AD45" s="27">
        <f ca="1">COUNTBLANK(INDIRECT("F45"))</f>
        <v>1</v>
      </c>
      <c r="AE45" s="27">
        <f ca="1">COUNTBLANK(INDIRECT("G45"))</f>
        <v>1</v>
      </c>
      <c r="AF45" s="27">
        <f ca="1">COUNTBLANK(INDIRECT("H45"))</f>
        <v>1</v>
      </c>
      <c r="AG45" s="27">
        <f ca="1">COUNTBLANK(INDIRECT("B45"))</f>
        <v>1</v>
      </c>
    </row>
    <row r="46" spans="1:33" x14ac:dyDescent="0.25">
      <c r="A46" s="2">
        <v>18</v>
      </c>
      <c r="B46" s="63"/>
      <c r="C46" s="56"/>
      <c r="D46" s="56"/>
      <c r="E46" s="56"/>
      <c r="F46" s="56"/>
      <c r="G46" s="56"/>
      <c r="H46" s="56"/>
      <c r="I46" s="106" t="str">
        <f ca="1">IF(AND(INDIRECT("H46")&gt;=INDIRECT("F46"),AA46=0,AB46=0,AC46=0,AF46=0),"Yes",IF(AND(INDIRECT("H46")&lt;INDIRECT("F46"),AA46=0,AB46=0,AC46=0,AF46=0),"No","N/A"))</f>
        <v>N/A</v>
      </c>
      <c r="J46" s="176" t="str">
        <f t="shared" ca="1" si="9"/>
        <v>No Error</v>
      </c>
      <c r="K46" s="176"/>
      <c r="L46" s="176"/>
      <c r="R46" s="5"/>
      <c r="AA46" s="27">
        <f ca="1">COUNTBLANK(INDIRECT("C46"))</f>
        <v>1</v>
      </c>
      <c r="AB46" s="27">
        <f ca="1">COUNTBLANK(INDIRECT("D46"))</f>
        <v>1</v>
      </c>
      <c r="AC46" s="27">
        <f ca="1">COUNTBLANK(INDIRECT("E46"))</f>
        <v>1</v>
      </c>
      <c r="AD46" s="27">
        <f ca="1">COUNTBLANK(INDIRECT("F46"))</f>
        <v>1</v>
      </c>
      <c r="AE46" s="27">
        <f ca="1">COUNTBLANK(INDIRECT("G46"))</f>
        <v>1</v>
      </c>
      <c r="AF46" s="27">
        <f ca="1">COUNTBLANK(INDIRECT("H46"))</f>
        <v>1</v>
      </c>
      <c r="AG46" s="27">
        <f ca="1">COUNTBLANK(INDIRECT("B46"))</f>
        <v>1</v>
      </c>
    </row>
    <row r="47" spans="1:33" x14ac:dyDescent="0.25">
      <c r="A47" s="2">
        <v>19</v>
      </c>
      <c r="B47" s="63"/>
      <c r="C47" s="56"/>
      <c r="D47" s="56"/>
      <c r="E47" s="56"/>
      <c r="F47" s="56"/>
      <c r="G47" s="56"/>
      <c r="H47" s="56"/>
      <c r="I47" s="106" t="str">
        <f ca="1">IF(AND(INDIRECT("H47")&gt;=INDIRECT("F47"),AA47=0,AB47=0,AC47=0,AF47=0),"Yes",IF(AND(INDIRECT("H47")&lt;INDIRECT("F47"),AA47=0,AB47=0,AC47=0,AF47=0),"No","N/A"))</f>
        <v>N/A</v>
      </c>
      <c r="J47" s="176" t="str">
        <f t="shared" ca="1" si="9"/>
        <v>No Error</v>
      </c>
      <c r="K47" s="176"/>
      <c r="L47" s="176"/>
      <c r="R47" s="5"/>
      <c r="AA47" s="27">
        <f ca="1">COUNTBLANK(INDIRECT("C47"))</f>
        <v>1</v>
      </c>
      <c r="AB47" s="27">
        <f ca="1">COUNTBLANK(INDIRECT("D47"))</f>
        <v>1</v>
      </c>
      <c r="AC47" s="27">
        <f ca="1">COUNTBLANK(INDIRECT("E47"))</f>
        <v>1</v>
      </c>
      <c r="AD47" s="27">
        <f ca="1">COUNTBLANK(INDIRECT("F47"))</f>
        <v>1</v>
      </c>
      <c r="AE47" s="27">
        <f ca="1">COUNTBLANK(INDIRECT("G47"))</f>
        <v>1</v>
      </c>
      <c r="AF47" s="27">
        <f ca="1">COUNTBLANK(INDIRECT("H47"))</f>
        <v>1</v>
      </c>
      <c r="AG47" s="27">
        <f ca="1">COUNTBLANK(INDIRECT("B47"))</f>
        <v>1</v>
      </c>
    </row>
    <row r="48" spans="1:33" x14ac:dyDescent="0.25">
      <c r="A48" s="2">
        <v>20</v>
      </c>
      <c r="B48" s="63"/>
      <c r="C48" s="56"/>
      <c r="D48" s="56"/>
      <c r="E48" s="56"/>
      <c r="F48" s="56"/>
      <c r="G48" s="56"/>
      <c r="H48" s="56"/>
      <c r="I48" s="106" t="str">
        <f ca="1">IF(AND(INDIRECT("H48")&gt;=INDIRECT("F48"),AA48=0,AB48=0,AC48=0,AF48=0),"Yes",IF(AND(INDIRECT("H48")&lt;INDIRECT("F48"),AA48=0,AB48=0,AC48=0,AF48=0),"No","N/A"))</f>
        <v>N/A</v>
      </c>
      <c r="J48" s="176" t="str">
        <f t="shared" ca="1" si="9"/>
        <v>No Error</v>
      </c>
      <c r="K48" s="176"/>
      <c r="L48" s="176"/>
      <c r="R48" s="5"/>
      <c r="AA48" s="27">
        <f ca="1">COUNTBLANK(INDIRECT("C48"))</f>
        <v>1</v>
      </c>
      <c r="AB48" s="27">
        <f ca="1">COUNTBLANK(INDIRECT("D48"))</f>
        <v>1</v>
      </c>
      <c r="AC48" s="27">
        <f ca="1">COUNTBLANK(INDIRECT("E48"))</f>
        <v>1</v>
      </c>
      <c r="AD48" s="27">
        <f ca="1">COUNTBLANK(INDIRECT("F48"))</f>
        <v>1</v>
      </c>
      <c r="AE48" s="27">
        <f ca="1">COUNTBLANK(INDIRECT("G48"))</f>
        <v>1</v>
      </c>
      <c r="AF48" s="27">
        <f ca="1">COUNTBLANK(INDIRECT("H48"))</f>
        <v>1</v>
      </c>
      <c r="AG48" s="27">
        <f ca="1">COUNTBLANK(INDIRECT("B48"))</f>
        <v>1</v>
      </c>
    </row>
    <row r="49" spans="1:33" x14ac:dyDescent="0.25">
      <c r="A49" s="2">
        <v>21</v>
      </c>
      <c r="B49" s="63"/>
      <c r="C49" s="56"/>
      <c r="D49" s="56"/>
      <c r="E49" s="56"/>
      <c r="F49" s="56"/>
      <c r="G49" s="56"/>
      <c r="H49" s="56"/>
      <c r="I49" s="106" t="str">
        <f ca="1">IF(AND(INDIRECT("H49")&gt;=INDIRECT("F49"),AA49=0,AB49=0,AC49=0,AF49=0),"Yes",IF(AND(INDIRECT("H49")&lt;INDIRECT("F49"),AA49=0,AB49=0,AC49=0,AF49=0),"No","N/A"))</f>
        <v>N/A</v>
      </c>
      <c r="J49" s="176" t="str">
        <f t="shared" ca="1" si="9"/>
        <v>No Error</v>
      </c>
      <c r="K49" s="176"/>
      <c r="L49" s="176"/>
      <c r="R49" s="5"/>
      <c r="AA49" s="27">
        <f ca="1">COUNTBLANK(INDIRECT("C49"))</f>
        <v>1</v>
      </c>
      <c r="AB49" s="27">
        <f ca="1">COUNTBLANK(INDIRECT("D49"))</f>
        <v>1</v>
      </c>
      <c r="AC49" s="27">
        <f ca="1">COUNTBLANK(INDIRECT("E49"))</f>
        <v>1</v>
      </c>
      <c r="AD49" s="27">
        <f ca="1">COUNTBLANK(INDIRECT("F49"))</f>
        <v>1</v>
      </c>
      <c r="AE49" s="27">
        <f ca="1">COUNTBLANK(INDIRECT("G49"))</f>
        <v>1</v>
      </c>
      <c r="AF49" s="27">
        <f ca="1">COUNTBLANK(INDIRECT("H49"))</f>
        <v>1</v>
      </c>
      <c r="AG49" s="27">
        <f ca="1">COUNTBLANK(INDIRECT("B49"))</f>
        <v>1</v>
      </c>
    </row>
    <row r="50" spans="1:33" x14ac:dyDescent="0.25">
      <c r="A50" s="2">
        <v>22</v>
      </c>
      <c r="B50" s="63"/>
      <c r="C50" s="56"/>
      <c r="D50" s="56"/>
      <c r="E50" s="56"/>
      <c r="F50" s="56"/>
      <c r="G50" s="56"/>
      <c r="H50" s="56"/>
      <c r="I50" s="106" t="str">
        <f ca="1">IF(AND(INDIRECT("H50")&gt;=INDIRECT("F50"),AA50=0,AB50=0,AC50=0,AF50=0),"Yes",IF(AND(INDIRECT("H50")&lt;INDIRECT("F50"),AA50=0,AB50=0,AC50=0,AF50=0),"No","N/A"))</f>
        <v>N/A</v>
      </c>
      <c r="J50" s="176" t="str">
        <f t="shared" ca="1" si="9"/>
        <v>No Error</v>
      </c>
      <c r="K50" s="176"/>
      <c r="L50" s="176"/>
      <c r="R50" s="5"/>
      <c r="AA50" s="27">
        <f ca="1">COUNTBLANK(INDIRECT("C50"))</f>
        <v>1</v>
      </c>
      <c r="AB50" s="27">
        <f ca="1">COUNTBLANK(INDIRECT("D50"))</f>
        <v>1</v>
      </c>
      <c r="AC50" s="27">
        <f ca="1">COUNTBLANK(INDIRECT("E50"))</f>
        <v>1</v>
      </c>
      <c r="AD50" s="27">
        <f ca="1">COUNTBLANK(INDIRECT("F50"))</f>
        <v>1</v>
      </c>
      <c r="AE50" s="27">
        <f ca="1">COUNTBLANK(INDIRECT("G50"))</f>
        <v>1</v>
      </c>
      <c r="AF50" s="27">
        <f ca="1">COUNTBLANK(INDIRECT("H50"))</f>
        <v>1</v>
      </c>
      <c r="AG50" s="27">
        <f ca="1">COUNTBLANK(INDIRECT("B50"))</f>
        <v>1</v>
      </c>
    </row>
    <row r="51" spans="1:33" x14ac:dyDescent="0.25">
      <c r="A51" s="2">
        <v>23</v>
      </c>
      <c r="B51" s="63"/>
      <c r="C51" s="56"/>
      <c r="D51" s="56"/>
      <c r="E51" s="56"/>
      <c r="F51" s="56"/>
      <c r="G51" s="56"/>
      <c r="H51" s="56"/>
      <c r="I51" s="106" t="str">
        <f ca="1">IF(AND(INDIRECT("H51")&gt;=INDIRECT("F51"),AA51=0,AB51=0,AC51=0,AF51=0),"Yes",IF(AND(INDIRECT("H51")&lt;INDIRECT("F51"),AA51=0,AB51=0,AC51=0,AF51=0),"No","N/A"))</f>
        <v>N/A</v>
      </c>
      <c r="J51" s="176" t="str">
        <f t="shared" ca="1" si="9"/>
        <v>No Error</v>
      </c>
      <c r="K51" s="176"/>
      <c r="L51" s="176"/>
      <c r="R51" s="5"/>
      <c r="AA51" s="27">
        <f ca="1">COUNTBLANK(INDIRECT("C51"))</f>
        <v>1</v>
      </c>
      <c r="AB51" s="27">
        <f ca="1">COUNTBLANK(INDIRECT("D51"))</f>
        <v>1</v>
      </c>
      <c r="AC51" s="27">
        <f ca="1">COUNTBLANK(INDIRECT("E51"))</f>
        <v>1</v>
      </c>
      <c r="AD51" s="27">
        <f ca="1">COUNTBLANK(INDIRECT("F51"))</f>
        <v>1</v>
      </c>
      <c r="AE51" s="27">
        <f ca="1">COUNTBLANK(INDIRECT("G51"))</f>
        <v>1</v>
      </c>
      <c r="AF51" s="27">
        <f ca="1">COUNTBLANK(INDIRECT("H51"))</f>
        <v>1</v>
      </c>
      <c r="AG51" s="27">
        <f ca="1">COUNTBLANK(INDIRECT("B51"))</f>
        <v>1</v>
      </c>
    </row>
    <row r="52" spans="1:33" x14ac:dyDescent="0.25">
      <c r="A52" s="2">
        <v>24</v>
      </c>
      <c r="B52" s="63"/>
      <c r="C52" s="56"/>
      <c r="D52" s="56"/>
      <c r="E52" s="56"/>
      <c r="F52" s="56"/>
      <c r="G52" s="56"/>
      <c r="H52" s="56"/>
      <c r="I52" s="106" t="str">
        <f ca="1">IF(AND(INDIRECT("H52")&gt;=INDIRECT("F52"),AA52=0,AB52=0,AC52=0,AF52=0),"Yes",IF(AND(INDIRECT("H52")&lt;INDIRECT("F52"),AA52=0,AB52=0,AC52=0,AF52=0),"No","N/A"))</f>
        <v>N/A</v>
      </c>
      <c r="J52" s="176" t="str">
        <f t="shared" ca="1" si="9"/>
        <v>No Error</v>
      </c>
      <c r="K52" s="176"/>
      <c r="L52" s="176"/>
      <c r="R52" s="5"/>
      <c r="AA52" s="27">
        <f ca="1">COUNTBLANK(INDIRECT("C52"))</f>
        <v>1</v>
      </c>
      <c r="AB52" s="27">
        <f ca="1">COUNTBLANK(INDIRECT("D52"))</f>
        <v>1</v>
      </c>
      <c r="AC52" s="27">
        <f ca="1">COUNTBLANK(INDIRECT("E52"))</f>
        <v>1</v>
      </c>
      <c r="AD52" s="27">
        <f ca="1">COUNTBLANK(INDIRECT("F52"))</f>
        <v>1</v>
      </c>
      <c r="AE52" s="27">
        <f ca="1">COUNTBLANK(INDIRECT("G52"))</f>
        <v>1</v>
      </c>
      <c r="AF52" s="27">
        <f ca="1">COUNTBLANK(INDIRECT("H52"))</f>
        <v>1</v>
      </c>
      <c r="AG52" s="27">
        <f ca="1">COUNTBLANK(INDIRECT("B52"))</f>
        <v>1</v>
      </c>
    </row>
    <row r="53" spans="1:33" x14ac:dyDescent="0.25">
      <c r="A53" s="2">
        <v>25</v>
      </c>
      <c r="B53" s="63"/>
      <c r="C53" s="56"/>
      <c r="D53" s="56"/>
      <c r="E53" s="56"/>
      <c r="F53" s="56"/>
      <c r="G53" s="56"/>
      <c r="H53" s="56"/>
      <c r="I53" s="106" t="str">
        <f ca="1">IF(AND(INDIRECT("H53")&gt;=INDIRECT("F53"),AA53=0,AB53=0,AC53=0,AF53=0),"Yes",IF(AND(INDIRECT("H53")&lt;INDIRECT("F53"),AA53=0,AB53=0,AC53=0,AF53=0),"No","N/A"))</f>
        <v>N/A</v>
      </c>
      <c r="J53" s="176" t="str">
        <f t="shared" ca="1" si="9"/>
        <v>No Error</v>
      </c>
      <c r="K53" s="176"/>
      <c r="L53" s="176"/>
      <c r="R53" s="5"/>
      <c r="AA53" s="61">
        <f ca="1">COUNTBLANK(INDIRECT("C53"))</f>
        <v>1</v>
      </c>
      <c r="AB53" s="61">
        <f ca="1">COUNTBLANK(INDIRECT("D53"))</f>
        <v>1</v>
      </c>
      <c r="AC53" s="61">
        <f ca="1">COUNTBLANK(INDIRECT("E53"))</f>
        <v>1</v>
      </c>
      <c r="AD53" s="61">
        <f ca="1">COUNTBLANK(INDIRECT("F53"))</f>
        <v>1</v>
      </c>
      <c r="AE53" s="61">
        <f ca="1">COUNTBLANK(INDIRECT("G53"))</f>
        <v>1</v>
      </c>
      <c r="AF53" s="61">
        <f ca="1">COUNTBLANK(INDIRECT("H53"))</f>
        <v>1</v>
      </c>
      <c r="AG53" s="61">
        <f ca="1">COUNTBLANK(INDIRECT("B53"))</f>
        <v>1</v>
      </c>
    </row>
    <row r="54" spans="1:33" x14ac:dyDescent="0.25">
      <c r="A54" s="2">
        <v>26</v>
      </c>
      <c r="B54" s="63"/>
      <c r="C54" s="56"/>
      <c r="D54" s="56"/>
      <c r="E54" s="56"/>
      <c r="F54" s="56"/>
      <c r="G54" s="56"/>
      <c r="H54" s="56"/>
      <c r="I54" s="106" t="str">
        <f ca="1">IF(AND(INDIRECT("H54")&gt;=INDIRECT("F54"),AA54=0,AB54=0,AC54=0,AF54=0),"Yes",IF(AND(INDIRECT("H54")&lt;INDIRECT("F54"),AA54=0,AB54=0,AC54=0,AF54=0),"No","N/A"))</f>
        <v>N/A</v>
      </c>
      <c r="J54" s="176" t="str">
        <f t="shared" ca="1" si="9"/>
        <v>No Error</v>
      </c>
      <c r="K54" s="176"/>
      <c r="L54" s="176"/>
      <c r="R54" s="5"/>
      <c r="AA54" s="27">
        <f ca="1">COUNTBLANK(INDIRECT("C54"))</f>
        <v>1</v>
      </c>
      <c r="AB54" s="27">
        <f ca="1">COUNTBLANK(INDIRECT("D54"))</f>
        <v>1</v>
      </c>
      <c r="AC54" s="27">
        <f ca="1">COUNTBLANK(INDIRECT("E54"))</f>
        <v>1</v>
      </c>
      <c r="AD54" s="27">
        <f ca="1">COUNTBLANK(INDIRECT("F54"))</f>
        <v>1</v>
      </c>
      <c r="AE54" s="27">
        <f ca="1">COUNTBLANK(INDIRECT("G54"))</f>
        <v>1</v>
      </c>
      <c r="AF54" s="27">
        <f ca="1">COUNTBLANK(INDIRECT("H54"))</f>
        <v>1</v>
      </c>
      <c r="AG54" s="27">
        <f ca="1">COUNTBLANK(INDIRECT("B54"))</f>
        <v>1</v>
      </c>
    </row>
    <row r="55" spans="1:33" x14ac:dyDescent="0.25">
      <c r="A55" s="2">
        <v>27</v>
      </c>
      <c r="B55" s="63"/>
      <c r="C55" s="56"/>
      <c r="D55" s="56"/>
      <c r="E55" s="56"/>
      <c r="F55" s="56"/>
      <c r="G55" s="56"/>
      <c r="H55" s="56"/>
      <c r="I55" s="106" t="str">
        <f ca="1">IF(AND(INDIRECT("H55")&gt;=INDIRECT("F55"),AA55=0,AB55=0,AC55=0,AF55=0),"Yes",IF(AND(INDIRECT("H55")&lt;INDIRECT("F55"),AA55=0,AB55=0,AC55=0,AF55=0),"No","N/A"))</f>
        <v>N/A</v>
      </c>
      <c r="J55" s="176" t="str">
        <f t="shared" ca="1" si="9"/>
        <v>No Error</v>
      </c>
      <c r="K55" s="176"/>
      <c r="L55" s="176"/>
      <c r="R55" s="5"/>
      <c r="AA55" s="27">
        <f ca="1">COUNTBLANK(INDIRECT("C55"))</f>
        <v>1</v>
      </c>
      <c r="AB55" s="27">
        <f ca="1">COUNTBLANK(INDIRECT("D55"))</f>
        <v>1</v>
      </c>
      <c r="AC55" s="27">
        <f ca="1">COUNTBLANK(INDIRECT("E55"))</f>
        <v>1</v>
      </c>
      <c r="AD55" s="27">
        <f ca="1">COUNTBLANK(INDIRECT("F55"))</f>
        <v>1</v>
      </c>
      <c r="AE55" s="27">
        <f ca="1">COUNTBLANK(INDIRECT("G55"))</f>
        <v>1</v>
      </c>
      <c r="AF55" s="27">
        <f ca="1">COUNTBLANK(INDIRECT("H55"))</f>
        <v>1</v>
      </c>
      <c r="AG55" s="27">
        <f ca="1">COUNTBLANK(INDIRECT("B55"))</f>
        <v>1</v>
      </c>
    </row>
    <row r="56" spans="1:33" x14ac:dyDescent="0.25">
      <c r="A56" s="2">
        <v>28</v>
      </c>
      <c r="B56" s="63"/>
      <c r="C56" s="56"/>
      <c r="D56" s="56"/>
      <c r="E56" s="56"/>
      <c r="F56" s="56"/>
      <c r="G56" s="56"/>
      <c r="H56" s="56"/>
      <c r="I56" s="106" t="str">
        <f ca="1">IF(AND(INDIRECT("H56")&gt;=INDIRECT("F56"),AA56=0,AB56=0,AC56=0,AF56=0),"Yes",IF(AND(INDIRECT("H56")&lt;INDIRECT("F56"),AA56=0,AB56=0,AC56=0,AF56=0),"No","N/A"))</f>
        <v>N/A</v>
      </c>
      <c r="J56" s="176" t="str">
        <f t="shared" ca="1" si="9"/>
        <v>No Error</v>
      </c>
      <c r="K56" s="176"/>
      <c r="L56" s="176"/>
      <c r="R56" s="5"/>
      <c r="AA56" s="27">
        <f ca="1">COUNTBLANK(INDIRECT("C56"))</f>
        <v>1</v>
      </c>
      <c r="AB56" s="27">
        <f ca="1">COUNTBLANK(INDIRECT("D56"))</f>
        <v>1</v>
      </c>
      <c r="AC56" s="27">
        <f ca="1">COUNTBLANK(INDIRECT("E56"))</f>
        <v>1</v>
      </c>
      <c r="AD56" s="27">
        <f ca="1">COUNTBLANK(INDIRECT("F56"))</f>
        <v>1</v>
      </c>
      <c r="AE56" s="27">
        <f ca="1">COUNTBLANK(INDIRECT("G56"))</f>
        <v>1</v>
      </c>
      <c r="AF56" s="27">
        <f ca="1">COUNTBLANK(INDIRECT("H56"))</f>
        <v>1</v>
      </c>
      <c r="AG56" s="27">
        <f ca="1">COUNTBLANK(INDIRECT("B56"))</f>
        <v>1</v>
      </c>
    </row>
    <row r="57" spans="1:33" x14ac:dyDescent="0.25">
      <c r="A57" s="2">
        <v>29</v>
      </c>
      <c r="B57" s="63"/>
      <c r="C57" s="56"/>
      <c r="D57" s="56"/>
      <c r="E57" s="56"/>
      <c r="F57" s="56"/>
      <c r="G57" s="56"/>
      <c r="H57" s="56"/>
      <c r="I57" s="106" t="str">
        <f ca="1">IF(AND(INDIRECT("H57")&gt;=INDIRECT("F57"),AA57=0,AB57=0,AC57=0,AF57=0),"Yes",IF(AND(INDIRECT("H57")&lt;INDIRECT("F57"),AA57=0,AB57=0,AC57=0,AF57=0),"No","N/A"))</f>
        <v>N/A</v>
      </c>
      <c r="J57" s="176" t="str">
        <f t="shared" ca="1" si="9"/>
        <v>No Error</v>
      </c>
      <c r="K57" s="176"/>
      <c r="L57" s="176"/>
      <c r="R57" s="5"/>
      <c r="AA57" s="27">
        <f ca="1">COUNTBLANK(INDIRECT("C57"))</f>
        <v>1</v>
      </c>
      <c r="AB57" s="27">
        <f ca="1">COUNTBLANK(INDIRECT("D57"))</f>
        <v>1</v>
      </c>
      <c r="AC57" s="27">
        <f ca="1">COUNTBLANK(INDIRECT("E57"))</f>
        <v>1</v>
      </c>
      <c r="AD57" s="27">
        <f ca="1">COUNTBLANK(INDIRECT("F57"))</f>
        <v>1</v>
      </c>
      <c r="AE57" s="27">
        <f ca="1">COUNTBLANK(INDIRECT("G57"))</f>
        <v>1</v>
      </c>
      <c r="AF57" s="27">
        <f ca="1">COUNTBLANK(INDIRECT("H57"))</f>
        <v>1</v>
      </c>
      <c r="AG57" s="27">
        <f ca="1">COUNTBLANK(INDIRECT("B57"))</f>
        <v>1</v>
      </c>
    </row>
    <row r="58" spans="1:33" x14ac:dyDescent="0.25">
      <c r="A58" s="2">
        <v>30</v>
      </c>
      <c r="B58" s="63"/>
      <c r="C58" s="56"/>
      <c r="D58" s="56"/>
      <c r="E58" s="56"/>
      <c r="F58" s="56"/>
      <c r="G58" s="56"/>
      <c r="H58" s="56"/>
      <c r="I58" s="106" t="str">
        <f ca="1">IF(AND(INDIRECT("H58")&gt;=INDIRECT("F58"),AA58=0,AB58=0,AC58=0,AF58=0),"Yes",IF(AND(INDIRECT("H58")&lt;INDIRECT("F58"),AA58=0,AB58=0,AC58=0,AF58=0),"No","N/A"))</f>
        <v>N/A</v>
      </c>
      <c r="J58" s="176" t="str">
        <f t="shared" ca="1" si="9"/>
        <v>No Error</v>
      </c>
      <c r="K58" s="176"/>
      <c r="L58" s="176"/>
      <c r="R58" s="5"/>
      <c r="AA58" s="27">
        <f ca="1">COUNTBLANK(INDIRECT("C58"))</f>
        <v>1</v>
      </c>
      <c r="AB58" s="27">
        <f ca="1">COUNTBLANK(INDIRECT("D58"))</f>
        <v>1</v>
      </c>
      <c r="AC58" s="27">
        <f ca="1">COUNTBLANK(INDIRECT("E58"))</f>
        <v>1</v>
      </c>
      <c r="AD58" s="27">
        <f ca="1">COUNTBLANK(INDIRECT("F58"))</f>
        <v>1</v>
      </c>
      <c r="AE58" s="27">
        <f ca="1">COUNTBLANK(INDIRECT("G58"))</f>
        <v>1</v>
      </c>
      <c r="AF58" s="27">
        <f ca="1">COUNTBLANK(INDIRECT("H58"))</f>
        <v>1</v>
      </c>
      <c r="AG58" s="27">
        <f ca="1">COUNTBLANK(INDIRECT("B58"))</f>
        <v>1</v>
      </c>
    </row>
    <row r="59" spans="1:33" x14ac:dyDescent="0.25">
      <c r="A59" s="2">
        <v>31</v>
      </c>
      <c r="B59" s="63"/>
      <c r="C59" s="56"/>
      <c r="D59" s="56"/>
      <c r="E59" s="56"/>
      <c r="F59" s="56"/>
      <c r="G59" s="56"/>
      <c r="H59" s="56"/>
      <c r="I59" s="106" t="str">
        <f ca="1">IF(AND(INDIRECT("H59")&gt;=INDIRECT("F59"),AA59=0,AB59=0,AC59=0,AF59=0),"Yes",IF(AND(INDIRECT("H59")&lt;INDIRECT("F59"),AA59=0,AB59=0,AC59=0,AF59=0),"No","N/A"))</f>
        <v>N/A</v>
      </c>
      <c r="J59" s="176" t="str">
        <f t="shared" ca="1" si="9"/>
        <v>No Error</v>
      </c>
      <c r="K59" s="176"/>
      <c r="L59" s="176"/>
      <c r="R59" s="5"/>
      <c r="AA59" s="27">
        <f ca="1">COUNTBLANK(INDIRECT("C59"))</f>
        <v>1</v>
      </c>
      <c r="AB59" s="27">
        <f ca="1">COUNTBLANK(INDIRECT("D59"))</f>
        <v>1</v>
      </c>
      <c r="AC59" s="27">
        <f ca="1">COUNTBLANK(INDIRECT("E59"))</f>
        <v>1</v>
      </c>
      <c r="AD59" s="27">
        <f ca="1">COUNTBLANK(INDIRECT("F59"))</f>
        <v>1</v>
      </c>
      <c r="AE59" s="27">
        <f ca="1">COUNTBLANK(INDIRECT("G59"))</f>
        <v>1</v>
      </c>
      <c r="AF59" s="27">
        <f ca="1">COUNTBLANK(INDIRECT("H59"))</f>
        <v>1</v>
      </c>
      <c r="AG59" s="27">
        <f ca="1">COUNTBLANK(INDIRECT("B59"))</f>
        <v>1</v>
      </c>
    </row>
    <row r="60" spans="1:33" x14ac:dyDescent="0.25">
      <c r="A60" s="2">
        <v>32</v>
      </c>
      <c r="B60" s="63"/>
      <c r="C60" s="56"/>
      <c r="D60" s="56"/>
      <c r="E60" s="56"/>
      <c r="F60" s="56"/>
      <c r="G60" s="56"/>
      <c r="H60" s="56"/>
      <c r="I60" s="107" t="str">
        <f ca="1">IF(AND(INDIRECT("H60")&gt;=INDIRECT("F60"),AA60=0,AB60=0,AC60=0,AF60=0),"Yes",IF(AND(INDIRECT("H60")&lt;INDIRECT("F60"),AA60=0,AB60=0,AC60=0,AF60=0),"No","N/A"))</f>
        <v>N/A</v>
      </c>
      <c r="J60" s="176" t="str">
        <f t="shared" ca="1" si="9"/>
        <v>No Error</v>
      </c>
      <c r="K60" s="176"/>
      <c r="L60" s="176"/>
      <c r="R60" s="5"/>
      <c r="AA60" s="27">
        <f ca="1">COUNTBLANK(INDIRECT("C60"))</f>
        <v>1</v>
      </c>
      <c r="AB60" s="27">
        <f ca="1">COUNTBLANK(INDIRECT("D60"))</f>
        <v>1</v>
      </c>
      <c r="AC60" s="27">
        <f ca="1">COUNTBLANK(INDIRECT("E60"))</f>
        <v>1</v>
      </c>
      <c r="AD60" s="27">
        <f ca="1">COUNTBLANK(INDIRECT("F60"))</f>
        <v>1</v>
      </c>
      <c r="AE60" s="27">
        <f ca="1">COUNTBLANK(INDIRECT("G60"))</f>
        <v>1</v>
      </c>
      <c r="AF60" s="27">
        <f ca="1">COUNTBLANK(INDIRECT("H60"))</f>
        <v>1</v>
      </c>
      <c r="AG60" s="27">
        <f ca="1">COUNTBLANK(INDIRECT("B60"))</f>
        <v>1</v>
      </c>
    </row>
    <row r="61" spans="1:33" x14ac:dyDescent="0.25">
      <c r="A61" s="2">
        <v>33</v>
      </c>
      <c r="B61" s="63"/>
      <c r="C61" s="56"/>
      <c r="D61" s="56"/>
      <c r="E61" s="56"/>
      <c r="F61" s="56"/>
      <c r="G61" s="56"/>
      <c r="H61" s="56"/>
      <c r="I61" s="107" t="str">
        <f ca="1">IF(AND(INDIRECT("H61")&gt;=INDIRECT("F61"),AA61=0,AB61=0,AC61=0,AF61=0),"Yes",IF(AND(INDIRECT("H61")&lt;INDIRECT("F61"),AA61=0,AB61=0,AC61=0,AF61=0),"No","N/A"))</f>
        <v>N/A</v>
      </c>
      <c r="J61" s="176" t="str">
        <f t="shared" ca="1" si="9"/>
        <v>No Error</v>
      </c>
      <c r="K61" s="176"/>
      <c r="L61" s="176"/>
      <c r="R61" s="5"/>
      <c r="AA61" s="27">
        <f ca="1">COUNTBLANK(INDIRECT("C61"))</f>
        <v>1</v>
      </c>
      <c r="AB61" s="27">
        <f ca="1">COUNTBLANK(INDIRECT("D61"))</f>
        <v>1</v>
      </c>
      <c r="AC61" s="27">
        <f ca="1">COUNTBLANK(INDIRECT("E61"))</f>
        <v>1</v>
      </c>
      <c r="AD61" s="27">
        <f ca="1">COUNTBLANK(INDIRECT("F61"))</f>
        <v>1</v>
      </c>
      <c r="AE61" s="27">
        <f ca="1">COUNTBLANK(INDIRECT("G61"))</f>
        <v>1</v>
      </c>
      <c r="AF61" s="27">
        <f ca="1">COUNTBLANK(INDIRECT("H61"))</f>
        <v>1</v>
      </c>
      <c r="AG61" s="27">
        <f ca="1">COUNTBLANK(INDIRECT("B61"))</f>
        <v>1</v>
      </c>
    </row>
    <row r="62" spans="1:33" x14ac:dyDescent="0.25">
      <c r="A62" s="2">
        <v>34</v>
      </c>
      <c r="B62" s="63"/>
      <c r="C62" s="56"/>
      <c r="D62" s="56"/>
      <c r="E62" s="56"/>
      <c r="F62" s="56"/>
      <c r="G62" s="56"/>
      <c r="H62" s="56"/>
      <c r="I62" s="107" t="str">
        <f ca="1">IF(AND(INDIRECT("H62")&gt;=INDIRECT("F62"),AA62=0,AB62=0,AC62=0,AF62=0),"Yes",IF(AND(INDIRECT("H62")&lt;INDIRECT("F62"),AA62=0,AB62=0,AC62=0,AF62=0),"No","N/A"))</f>
        <v>N/A</v>
      </c>
      <c r="J62" s="176" t="str">
        <f t="shared" ca="1" si="9"/>
        <v>No Error</v>
      </c>
      <c r="K62" s="176"/>
      <c r="L62" s="176"/>
      <c r="R62" s="5"/>
      <c r="AA62" s="27">
        <f ca="1">COUNTBLANK(INDIRECT("C62"))</f>
        <v>1</v>
      </c>
      <c r="AB62" s="27">
        <f ca="1">COUNTBLANK(INDIRECT("D62"))</f>
        <v>1</v>
      </c>
      <c r="AC62" s="27">
        <f ca="1">COUNTBLANK(INDIRECT("E62"))</f>
        <v>1</v>
      </c>
      <c r="AD62" s="27">
        <f ca="1">COUNTBLANK(INDIRECT("F62"))</f>
        <v>1</v>
      </c>
      <c r="AE62" s="27">
        <f ca="1">COUNTBLANK(INDIRECT("G62"))</f>
        <v>1</v>
      </c>
      <c r="AF62" s="27">
        <f ca="1">COUNTBLANK(INDIRECT("H62"))</f>
        <v>1</v>
      </c>
      <c r="AG62" s="27">
        <f ca="1">COUNTBLANK(INDIRECT("B62"))</f>
        <v>1</v>
      </c>
    </row>
    <row r="63" spans="1:33" x14ac:dyDescent="0.25">
      <c r="A63" s="2">
        <v>35</v>
      </c>
      <c r="B63" s="63"/>
      <c r="C63" s="56"/>
      <c r="D63" s="56"/>
      <c r="E63" s="56"/>
      <c r="F63" s="56"/>
      <c r="G63" s="56"/>
      <c r="H63" s="56"/>
      <c r="I63" s="107" t="str">
        <f ca="1">IF(AND(INDIRECT("H63")&gt;=INDIRECT("F63"),AA63=0,AB63=0,AC63=0,AF63=0),"Yes",IF(AND(INDIRECT("H63")&lt;INDIRECT("F63"),AA63=0,AB63=0,AC63=0,AF63=0),"No","N/A"))</f>
        <v>N/A</v>
      </c>
      <c r="J63" s="176" t="str">
        <f t="shared" ca="1" si="9"/>
        <v>No Error</v>
      </c>
      <c r="K63" s="176"/>
      <c r="L63" s="176"/>
      <c r="R63" s="5"/>
      <c r="AA63" s="27">
        <f ca="1">COUNTBLANK(INDIRECT("C63"))</f>
        <v>1</v>
      </c>
      <c r="AB63" s="27">
        <f ca="1">COUNTBLANK(INDIRECT("D63"))</f>
        <v>1</v>
      </c>
      <c r="AC63" s="27">
        <f ca="1">COUNTBLANK(INDIRECT("E63"))</f>
        <v>1</v>
      </c>
      <c r="AD63" s="27">
        <f ca="1">COUNTBLANK(INDIRECT("F63"))</f>
        <v>1</v>
      </c>
      <c r="AE63" s="27">
        <f ca="1">COUNTBLANK(INDIRECT("G63"))</f>
        <v>1</v>
      </c>
      <c r="AF63" s="27">
        <f ca="1">COUNTBLANK(INDIRECT("H63"))</f>
        <v>1</v>
      </c>
      <c r="AG63" s="27">
        <f ca="1">COUNTBLANK(INDIRECT("B63"))</f>
        <v>1</v>
      </c>
    </row>
    <row r="64" spans="1:33" x14ac:dyDescent="0.25">
      <c r="A64" s="2">
        <v>36</v>
      </c>
      <c r="B64" s="63"/>
      <c r="C64" s="56"/>
      <c r="D64" s="56"/>
      <c r="E64" s="56"/>
      <c r="F64" s="56"/>
      <c r="G64" s="56"/>
      <c r="H64" s="56"/>
      <c r="I64" s="107" t="str">
        <f ca="1">IF(AND(INDIRECT("H64")&gt;=INDIRECT("F64"),AA64=0,AB64=0,AC64=0,AF64=0),"Yes",IF(AND(INDIRECT("H64")&lt;INDIRECT("F64"),AA64=0,AB64=0,AC64=0,AF64=0),"No","N/A"))</f>
        <v>N/A</v>
      </c>
      <c r="J64" s="176" t="str">
        <f t="shared" ca="1" si="9"/>
        <v>No Error</v>
      </c>
      <c r="K64" s="176"/>
      <c r="L64" s="176"/>
      <c r="R64" s="5"/>
      <c r="AA64" s="27">
        <f ca="1">COUNTBLANK(INDIRECT("C64"))</f>
        <v>1</v>
      </c>
      <c r="AB64" s="27">
        <f ca="1">COUNTBLANK(INDIRECT("D64"))</f>
        <v>1</v>
      </c>
      <c r="AC64" s="27">
        <f ca="1">COUNTBLANK(INDIRECT("E64"))</f>
        <v>1</v>
      </c>
      <c r="AD64" s="27">
        <f ca="1">COUNTBLANK(INDIRECT("F64"))</f>
        <v>1</v>
      </c>
      <c r="AE64" s="27">
        <f ca="1">COUNTBLANK(INDIRECT("G64"))</f>
        <v>1</v>
      </c>
      <c r="AF64" s="27">
        <f ca="1">COUNTBLANK(INDIRECT("H64"))</f>
        <v>1</v>
      </c>
      <c r="AG64" s="27">
        <f ca="1">COUNTBLANK(INDIRECT("B64"))</f>
        <v>1</v>
      </c>
    </row>
    <row r="65" spans="1:33" x14ac:dyDescent="0.25">
      <c r="A65" s="2">
        <v>37</v>
      </c>
      <c r="B65" s="63"/>
      <c r="C65" s="56"/>
      <c r="D65" s="56"/>
      <c r="E65" s="56"/>
      <c r="F65" s="56"/>
      <c r="G65" s="56"/>
      <c r="H65" s="56"/>
      <c r="I65" s="107" t="str">
        <f ca="1">IF(AND(INDIRECT("H65")&gt;=INDIRECT("F65"),AA65=0,AB65=0,AC65=0,AF65=0),"Yes",IF(AND(INDIRECT("H65")&lt;INDIRECT("F65"),AA65=0,AB65=0,AC65=0,AF65=0),"No","N/A"))</f>
        <v>N/A</v>
      </c>
      <c r="J65" s="176" t="str">
        <f t="shared" ca="1" si="9"/>
        <v>No Error</v>
      </c>
      <c r="K65" s="176"/>
      <c r="L65" s="176"/>
      <c r="R65" s="5"/>
      <c r="AA65" s="27">
        <f ca="1">COUNTBLANK(INDIRECT("C65"))</f>
        <v>1</v>
      </c>
      <c r="AB65" s="27">
        <f ca="1">COUNTBLANK(INDIRECT("D65"))</f>
        <v>1</v>
      </c>
      <c r="AC65" s="27">
        <f ca="1">COUNTBLANK(INDIRECT("E65"))</f>
        <v>1</v>
      </c>
      <c r="AD65" s="27">
        <f ca="1">COUNTBLANK(INDIRECT("F65"))</f>
        <v>1</v>
      </c>
      <c r="AE65" s="27">
        <f ca="1">COUNTBLANK(INDIRECT("G65"))</f>
        <v>1</v>
      </c>
      <c r="AF65" s="27">
        <f ca="1">COUNTBLANK(INDIRECT("H65"))</f>
        <v>1</v>
      </c>
      <c r="AG65" s="27">
        <f ca="1">COUNTBLANK(INDIRECT("B65"))</f>
        <v>1</v>
      </c>
    </row>
    <row r="66" spans="1:33" x14ac:dyDescent="0.25">
      <c r="A66" s="2">
        <v>38</v>
      </c>
      <c r="B66" s="63"/>
      <c r="C66" s="56"/>
      <c r="D66" s="56"/>
      <c r="E66" s="56"/>
      <c r="F66" s="56"/>
      <c r="G66" s="56"/>
      <c r="H66" s="56"/>
      <c r="I66" s="107" t="str">
        <f ca="1">IF(AND(INDIRECT("H66")&gt;=INDIRECT("F66"),AA66=0,AB66=0,AC66=0,AF66=0),"Yes",IF(AND(INDIRECT("H66")&lt;INDIRECT("F66"),AA66=0,AB66=0,AC66=0,AF66=0),"No","N/A"))</f>
        <v>N/A</v>
      </c>
      <c r="J66" s="176" t="str">
        <f t="shared" ca="1" si="9"/>
        <v>No Error</v>
      </c>
      <c r="K66" s="176"/>
      <c r="L66" s="176"/>
      <c r="R66" s="5"/>
      <c r="AA66" s="27">
        <f ca="1">COUNTBLANK(INDIRECT("C66"))</f>
        <v>1</v>
      </c>
      <c r="AB66" s="27">
        <f ca="1">COUNTBLANK(INDIRECT("D66"))</f>
        <v>1</v>
      </c>
      <c r="AC66" s="27">
        <f ca="1">COUNTBLANK(INDIRECT("E66"))</f>
        <v>1</v>
      </c>
      <c r="AD66" s="27">
        <f ca="1">COUNTBLANK(INDIRECT("F66"))</f>
        <v>1</v>
      </c>
      <c r="AE66" s="27">
        <f ca="1">COUNTBLANK(INDIRECT("G66"))</f>
        <v>1</v>
      </c>
      <c r="AF66" s="27">
        <f ca="1">COUNTBLANK(INDIRECT("H66"))</f>
        <v>1</v>
      </c>
      <c r="AG66" s="27">
        <f ca="1">COUNTBLANK(INDIRECT("B66"))</f>
        <v>1</v>
      </c>
    </row>
    <row r="67" spans="1:33" x14ac:dyDescent="0.25">
      <c r="A67" s="2">
        <v>39</v>
      </c>
      <c r="B67" s="63"/>
      <c r="C67" s="56"/>
      <c r="D67" s="56"/>
      <c r="E67" s="56"/>
      <c r="F67" s="56"/>
      <c r="G67" s="56"/>
      <c r="H67" s="56"/>
      <c r="I67" s="107" t="str">
        <f ca="1">IF(AND(INDIRECT("H67")&gt;=INDIRECT("F67"),AA67=0,AB67=0,AC67=0,AF67=0),"Yes",IF(AND(INDIRECT("H67")&lt;INDIRECT("F67"),AA67=0,AB67=0,AC67=0,AF67=0),"No","N/A"))</f>
        <v>N/A</v>
      </c>
      <c r="J67" s="176" t="str">
        <f t="shared" ca="1" si="9"/>
        <v>No Error</v>
      </c>
      <c r="K67" s="176"/>
      <c r="L67" s="176"/>
      <c r="R67" s="5"/>
      <c r="AA67" s="27">
        <f ca="1">COUNTBLANK(INDIRECT("C67"))</f>
        <v>1</v>
      </c>
      <c r="AB67" s="27">
        <f ca="1">COUNTBLANK(INDIRECT("D67"))</f>
        <v>1</v>
      </c>
      <c r="AC67" s="27">
        <f ca="1">COUNTBLANK(INDIRECT("E67"))</f>
        <v>1</v>
      </c>
      <c r="AD67" s="27">
        <f ca="1">COUNTBLANK(INDIRECT("F67"))</f>
        <v>1</v>
      </c>
      <c r="AE67" s="27">
        <f ca="1">COUNTBLANK(INDIRECT("G67"))</f>
        <v>1</v>
      </c>
      <c r="AF67" s="27">
        <f ca="1">COUNTBLANK(INDIRECT("H67"))</f>
        <v>1</v>
      </c>
      <c r="AG67" s="27">
        <f ca="1">COUNTBLANK(INDIRECT("B67"))</f>
        <v>1</v>
      </c>
    </row>
    <row r="68" spans="1:33" x14ac:dyDescent="0.25">
      <c r="A68" s="2">
        <v>40</v>
      </c>
      <c r="B68" s="63"/>
      <c r="C68" s="56"/>
      <c r="D68" s="56"/>
      <c r="E68" s="56"/>
      <c r="F68" s="56"/>
      <c r="G68" s="56"/>
      <c r="H68" s="56"/>
      <c r="I68" s="107" t="str">
        <f ca="1">IF(AND(INDIRECT("H68")&gt;=INDIRECT("F68"),AA68=0,AB68=0,AC68=0,AF68=0),"Yes",IF(AND(INDIRECT("H68")&lt;INDIRECT("F68"),AA68=0,AB68=0,AC68=0,AF68=0),"No","N/A"))</f>
        <v>N/A</v>
      </c>
      <c r="J68" s="176" t="str">
        <f t="shared" ca="1" si="9"/>
        <v>No Error</v>
      </c>
      <c r="K68" s="176"/>
      <c r="L68" s="176"/>
      <c r="R68" s="5"/>
      <c r="AA68" s="27">
        <f ca="1">COUNTBLANK(INDIRECT("C68"))</f>
        <v>1</v>
      </c>
      <c r="AB68" s="27">
        <f ca="1">COUNTBLANK(INDIRECT("D68"))</f>
        <v>1</v>
      </c>
      <c r="AC68" s="27">
        <f ca="1">COUNTBLANK(INDIRECT("E68"))</f>
        <v>1</v>
      </c>
      <c r="AD68" s="27">
        <f ca="1">COUNTBLANK(INDIRECT("F68"))</f>
        <v>1</v>
      </c>
      <c r="AE68" s="27">
        <f ca="1">COUNTBLANK(INDIRECT("G68"))</f>
        <v>1</v>
      </c>
      <c r="AF68" s="27">
        <f ca="1">COUNTBLANK(INDIRECT("H68"))</f>
        <v>1</v>
      </c>
      <c r="AG68" s="27">
        <f ca="1">COUNTBLANK(INDIRECT("B68"))</f>
        <v>1</v>
      </c>
    </row>
    <row r="69" spans="1:33" x14ac:dyDescent="0.25">
      <c r="A69" s="2">
        <v>41</v>
      </c>
      <c r="B69" s="63"/>
      <c r="C69" s="56"/>
      <c r="D69" s="56"/>
      <c r="E69" s="56"/>
      <c r="F69" s="56"/>
      <c r="G69" s="56"/>
      <c r="H69" s="56"/>
      <c r="I69" s="107" t="str">
        <f ca="1">IF(AND(INDIRECT("H69")&gt;=INDIRECT("F69"),AA69=0,AB69=0,AC69=0,AF69=0),"Yes",IF(AND(INDIRECT("H69")&lt;INDIRECT("F69"),AA69=0,AB69=0,AC69=0,AF69=0),"No","N/A"))</f>
        <v>N/A</v>
      </c>
      <c r="J69" s="176" t="str">
        <f t="shared" ca="1" si="9"/>
        <v>No Error</v>
      </c>
      <c r="K69" s="176"/>
      <c r="L69" s="176"/>
      <c r="R69" s="5"/>
      <c r="AA69" s="27">
        <f ca="1">COUNTBLANK(INDIRECT("C69"))</f>
        <v>1</v>
      </c>
      <c r="AB69" s="27">
        <f ca="1">COUNTBLANK(INDIRECT("D69"))</f>
        <v>1</v>
      </c>
      <c r="AC69" s="27">
        <f ca="1">COUNTBLANK(INDIRECT("E69"))</f>
        <v>1</v>
      </c>
      <c r="AD69" s="27">
        <f ca="1">COUNTBLANK(INDIRECT("F69"))</f>
        <v>1</v>
      </c>
      <c r="AE69" s="27">
        <f ca="1">COUNTBLANK(INDIRECT("G69"))</f>
        <v>1</v>
      </c>
      <c r="AF69" s="27">
        <f ca="1">COUNTBLANK(INDIRECT("H69"))</f>
        <v>1</v>
      </c>
      <c r="AG69" s="27">
        <f ca="1">COUNTBLANK(INDIRECT("B69"))</f>
        <v>1</v>
      </c>
    </row>
    <row r="70" spans="1:33" x14ac:dyDescent="0.25">
      <c r="A70" s="2">
        <v>42</v>
      </c>
      <c r="B70" s="63"/>
      <c r="C70" s="56"/>
      <c r="D70" s="56"/>
      <c r="E70" s="56"/>
      <c r="F70" s="56"/>
      <c r="G70" s="56"/>
      <c r="H70" s="56"/>
      <c r="I70" s="107" t="str">
        <f ca="1">IF(AND(INDIRECT("H70")&gt;=INDIRECT("F70"),AA70=0,AB70=0,AC70=0,AF70=0),"Yes",IF(AND(INDIRECT("H70")&lt;INDIRECT("F70"),AA70=0,AB70=0,AC70=0,AF70=0),"No","N/A"))</f>
        <v>N/A</v>
      </c>
      <c r="J70" s="176" t="str">
        <f t="shared" ca="1" si="9"/>
        <v>No Error</v>
      </c>
      <c r="K70" s="176"/>
      <c r="L70" s="176"/>
      <c r="R70" s="5"/>
      <c r="AA70" s="27">
        <f ca="1">COUNTBLANK(INDIRECT("C70"))</f>
        <v>1</v>
      </c>
      <c r="AB70" s="27">
        <f ca="1">COUNTBLANK(INDIRECT("D70"))</f>
        <v>1</v>
      </c>
      <c r="AC70" s="27">
        <f ca="1">COUNTBLANK(INDIRECT("E70"))</f>
        <v>1</v>
      </c>
      <c r="AD70" s="27">
        <f ca="1">COUNTBLANK(INDIRECT("F70"))</f>
        <v>1</v>
      </c>
      <c r="AE70" s="27">
        <f ca="1">COUNTBLANK(INDIRECT("G70"))</f>
        <v>1</v>
      </c>
      <c r="AF70" s="27">
        <f ca="1">COUNTBLANK(INDIRECT("H70"))</f>
        <v>1</v>
      </c>
      <c r="AG70" s="27">
        <f ca="1">COUNTBLANK(INDIRECT("B70"))</f>
        <v>1</v>
      </c>
    </row>
    <row r="71" spans="1:33" x14ac:dyDescent="0.25">
      <c r="A71" s="2">
        <v>43</v>
      </c>
      <c r="B71" s="63"/>
      <c r="C71" s="56"/>
      <c r="D71" s="56"/>
      <c r="E71" s="56"/>
      <c r="F71" s="56"/>
      <c r="G71" s="56"/>
      <c r="H71" s="56"/>
      <c r="I71" s="107" t="str">
        <f ca="1">IF(AND(INDIRECT("H71")&gt;=INDIRECT("F71"),AA71=0,AB71=0,AC71=0,AF71=0),"Yes",IF(AND(INDIRECT("H71")&lt;INDIRECT("F71"),AA71=0,AB71=0,AC71=0,AF71=0),"No","N/A"))</f>
        <v>N/A</v>
      </c>
      <c r="J71" s="176" t="str">
        <f t="shared" ca="1" si="9"/>
        <v>No Error</v>
      </c>
      <c r="K71" s="176"/>
      <c r="L71" s="176"/>
      <c r="R71" s="5"/>
      <c r="AA71" s="27">
        <f ca="1">COUNTBLANK(INDIRECT("C71"))</f>
        <v>1</v>
      </c>
      <c r="AB71" s="27">
        <f ca="1">COUNTBLANK(INDIRECT("D71"))</f>
        <v>1</v>
      </c>
      <c r="AC71" s="27">
        <f ca="1">COUNTBLANK(INDIRECT("E71"))</f>
        <v>1</v>
      </c>
      <c r="AD71" s="27">
        <f ca="1">COUNTBLANK(INDIRECT("F71"))</f>
        <v>1</v>
      </c>
      <c r="AE71" s="27">
        <f ca="1">COUNTBLANK(INDIRECT("G71"))</f>
        <v>1</v>
      </c>
      <c r="AF71" s="27">
        <f ca="1">COUNTBLANK(INDIRECT("H71"))</f>
        <v>1</v>
      </c>
      <c r="AG71" s="27">
        <f ca="1">COUNTBLANK(INDIRECT("B71"))</f>
        <v>1</v>
      </c>
    </row>
    <row r="72" spans="1:33" x14ac:dyDescent="0.25">
      <c r="A72" s="2">
        <v>44</v>
      </c>
      <c r="B72" s="63"/>
      <c r="C72" s="56"/>
      <c r="D72" s="56"/>
      <c r="E72" s="56"/>
      <c r="F72" s="56"/>
      <c r="G72" s="56"/>
      <c r="H72" s="56"/>
      <c r="I72" s="107" t="str">
        <f ca="1">IF(AND(INDIRECT("H72")&gt;=INDIRECT("F72"),AA72=0,AB72=0,AC72=0,AF72=0),"Yes",IF(AND(INDIRECT("H72")&lt;INDIRECT("F72"),AA72=0,AB72=0,AC72=0,AF72=0),"No","N/A"))</f>
        <v>N/A</v>
      </c>
      <c r="J72" s="176" t="str">
        <f t="shared" ca="1" si="9"/>
        <v>No Error</v>
      </c>
      <c r="K72" s="176"/>
      <c r="L72" s="176"/>
      <c r="R72" s="5"/>
      <c r="AA72" s="27">
        <f ca="1">COUNTBLANK(INDIRECT("C72"))</f>
        <v>1</v>
      </c>
      <c r="AB72" s="27">
        <f ca="1">COUNTBLANK(INDIRECT("D72"))</f>
        <v>1</v>
      </c>
      <c r="AC72" s="27">
        <f ca="1">COUNTBLANK(INDIRECT("E72"))</f>
        <v>1</v>
      </c>
      <c r="AD72" s="27">
        <f ca="1">COUNTBLANK(INDIRECT("F72"))</f>
        <v>1</v>
      </c>
      <c r="AE72" s="27">
        <f ca="1">COUNTBLANK(INDIRECT("G72"))</f>
        <v>1</v>
      </c>
      <c r="AF72" s="27">
        <f ca="1">COUNTBLANK(INDIRECT("H72"))</f>
        <v>1</v>
      </c>
      <c r="AG72" s="27">
        <f ca="1">COUNTBLANK(INDIRECT("B72"))</f>
        <v>1</v>
      </c>
    </row>
    <row r="73" spans="1:33" x14ac:dyDescent="0.25">
      <c r="A73" s="2">
        <v>45</v>
      </c>
      <c r="B73" s="63"/>
      <c r="C73" s="56"/>
      <c r="D73" s="56"/>
      <c r="E73" s="56"/>
      <c r="F73" s="56"/>
      <c r="G73" s="56"/>
      <c r="H73" s="56"/>
      <c r="I73" s="107" t="str">
        <f ca="1">IF(AND(INDIRECT("H73")&gt;=INDIRECT("F73"),AA73=0,AB73=0,AC73=0,AF73=0),"Yes",IF(AND(INDIRECT("H73")&lt;INDIRECT("F73"),AA73=0,AB73=0,AC73=0,AF73=0),"No","N/A"))</f>
        <v>N/A</v>
      </c>
      <c r="J73" s="176" t="str">
        <f t="shared" ca="1" si="9"/>
        <v>No Error</v>
      </c>
      <c r="K73" s="176"/>
      <c r="L73" s="176"/>
      <c r="R73" s="5"/>
      <c r="AA73" s="27">
        <f ca="1">COUNTBLANK(INDIRECT("C73"))</f>
        <v>1</v>
      </c>
      <c r="AB73" s="27">
        <f ca="1">COUNTBLANK(INDIRECT("D73"))</f>
        <v>1</v>
      </c>
      <c r="AC73" s="27">
        <f ca="1">COUNTBLANK(INDIRECT("E73"))</f>
        <v>1</v>
      </c>
      <c r="AD73" s="27">
        <f ca="1">COUNTBLANK(INDIRECT("F73"))</f>
        <v>1</v>
      </c>
      <c r="AE73" s="27">
        <f ca="1">COUNTBLANK(INDIRECT("G73"))</f>
        <v>1</v>
      </c>
      <c r="AF73" s="27">
        <f ca="1">COUNTBLANK(INDIRECT("H73"))</f>
        <v>1</v>
      </c>
      <c r="AG73" s="27">
        <f ca="1">COUNTBLANK(INDIRECT("B73"))</f>
        <v>1</v>
      </c>
    </row>
    <row r="74" spans="1:33" x14ac:dyDescent="0.25">
      <c r="A74" s="2">
        <v>46</v>
      </c>
      <c r="B74" s="63"/>
      <c r="C74" s="56"/>
      <c r="D74" s="56"/>
      <c r="E74" s="56"/>
      <c r="F74" s="56"/>
      <c r="G74" s="56"/>
      <c r="H74" s="56"/>
      <c r="I74" s="107" t="str">
        <f ca="1">IF(AND(INDIRECT("H74")&gt;=INDIRECT("F74"),AA74=0,AB74=0,AC74=0,AF74=0),"Yes",IF(AND(INDIRECT("H74")&lt;INDIRECT("F74"),AA74=0,AB74=0,AC74=0,AF74=0),"No","N/A"))</f>
        <v>N/A</v>
      </c>
      <c r="J74" s="176" t="str">
        <f t="shared" ca="1" si="9"/>
        <v>No Error</v>
      </c>
      <c r="K74" s="176"/>
      <c r="L74" s="176"/>
      <c r="R74" s="5"/>
      <c r="AA74" s="27">
        <f ca="1">COUNTBLANK(INDIRECT("C74"))</f>
        <v>1</v>
      </c>
      <c r="AB74" s="27">
        <f ca="1">COUNTBLANK(INDIRECT("D74"))</f>
        <v>1</v>
      </c>
      <c r="AC74" s="27">
        <f ca="1">COUNTBLANK(INDIRECT("E74"))</f>
        <v>1</v>
      </c>
      <c r="AD74" s="27">
        <f ca="1">COUNTBLANK(INDIRECT("F74"))</f>
        <v>1</v>
      </c>
      <c r="AE74" s="27">
        <f ca="1">COUNTBLANK(INDIRECT("G74"))</f>
        <v>1</v>
      </c>
      <c r="AF74" s="27">
        <f ca="1">COUNTBLANK(INDIRECT("H74"))</f>
        <v>1</v>
      </c>
      <c r="AG74" s="27">
        <f ca="1">COUNTBLANK(INDIRECT("B74"))</f>
        <v>1</v>
      </c>
    </row>
    <row r="75" spans="1:33" x14ac:dyDescent="0.25">
      <c r="A75" s="2">
        <v>47</v>
      </c>
      <c r="B75" s="63"/>
      <c r="C75" s="56"/>
      <c r="D75" s="56"/>
      <c r="E75" s="56"/>
      <c r="F75" s="56"/>
      <c r="G75" s="56"/>
      <c r="H75" s="56"/>
      <c r="I75" s="107" t="str">
        <f ca="1">IF(AND(INDIRECT("H75")&gt;=INDIRECT("F75"),AA75=0,AB75=0,AC75=0,AF75=0),"Yes",IF(AND(INDIRECT("H75")&lt;INDIRECT("F75"),AA75=0,AB75=0,AC75=0,AF75=0),"No","N/A"))</f>
        <v>N/A</v>
      </c>
      <c r="J75" s="176" t="str">
        <f t="shared" ca="1" si="9"/>
        <v>No Error</v>
      </c>
      <c r="K75" s="176"/>
      <c r="L75" s="176"/>
      <c r="R75" s="5"/>
      <c r="AA75" s="27">
        <f ca="1">COUNTBLANK(INDIRECT("C75"))</f>
        <v>1</v>
      </c>
      <c r="AB75" s="27">
        <f ca="1">COUNTBLANK(INDIRECT("D75"))</f>
        <v>1</v>
      </c>
      <c r="AC75" s="27">
        <f ca="1">COUNTBLANK(INDIRECT("E75"))</f>
        <v>1</v>
      </c>
      <c r="AD75" s="27">
        <f ca="1">COUNTBLANK(INDIRECT("F75"))</f>
        <v>1</v>
      </c>
      <c r="AE75" s="27">
        <f ca="1">COUNTBLANK(INDIRECT("G75"))</f>
        <v>1</v>
      </c>
      <c r="AF75" s="27">
        <f ca="1">COUNTBLANK(INDIRECT("H75"))</f>
        <v>1</v>
      </c>
      <c r="AG75" s="27">
        <f ca="1">COUNTBLANK(INDIRECT("B75"))</f>
        <v>1</v>
      </c>
    </row>
    <row r="76" spans="1:33" x14ac:dyDescent="0.25">
      <c r="A76" s="2">
        <v>48</v>
      </c>
      <c r="B76" s="63"/>
      <c r="C76" s="56"/>
      <c r="D76" s="56"/>
      <c r="E76" s="56"/>
      <c r="F76" s="56"/>
      <c r="G76" s="56"/>
      <c r="H76" s="56"/>
      <c r="I76" s="107" t="str">
        <f ca="1">IF(AND(INDIRECT("H76")&gt;=INDIRECT("F76"),AA76=0,AB76=0,AC76=0,AF76=0),"Yes",IF(AND(INDIRECT("H76")&lt;INDIRECT("F76"),AA76=0,AB76=0,AC76=0,AF76=0),"No","N/A"))</f>
        <v>N/A</v>
      </c>
      <c r="J76" s="176" t="str">
        <f t="shared" ca="1" si="9"/>
        <v>No Error</v>
      </c>
      <c r="K76" s="176"/>
      <c r="L76" s="176"/>
      <c r="R76" s="5"/>
      <c r="AA76" s="27">
        <f ca="1">COUNTBLANK(INDIRECT("C76"))</f>
        <v>1</v>
      </c>
      <c r="AB76" s="27">
        <f ca="1">COUNTBLANK(INDIRECT("D76"))</f>
        <v>1</v>
      </c>
      <c r="AC76" s="27">
        <f ca="1">COUNTBLANK(INDIRECT("E76"))</f>
        <v>1</v>
      </c>
      <c r="AD76" s="27">
        <f ca="1">COUNTBLANK(INDIRECT("F76"))</f>
        <v>1</v>
      </c>
      <c r="AE76" s="27">
        <f ca="1">COUNTBLANK(INDIRECT("G76"))</f>
        <v>1</v>
      </c>
      <c r="AF76" s="27">
        <f ca="1">COUNTBLANK(INDIRECT("H76"))</f>
        <v>1</v>
      </c>
      <c r="AG76" s="27">
        <f ca="1">COUNTBLANK(INDIRECT("B76"))</f>
        <v>1</v>
      </c>
    </row>
    <row r="77" spans="1:33" x14ac:dyDescent="0.25">
      <c r="A77" s="2">
        <v>49</v>
      </c>
      <c r="B77" s="63"/>
      <c r="C77" s="56"/>
      <c r="D77" s="56"/>
      <c r="E77" s="56"/>
      <c r="F77" s="56"/>
      <c r="G77" s="56"/>
      <c r="H77" s="56"/>
      <c r="I77" s="107" t="str">
        <f ca="1">IF(AND(INDIRECT("H77")&gt;=INDIRECT("F77"),AA77=0,AB77=0,AC77=0,AF77=0),"Yes",IF(AND(INDIRECT("H77")&lt;INDIRECT("F77"),AA77=0,AB77=0,AC77=0,AF77=0),"No","N/A"))</f>
        <v>N/A</v>
      </c>
      <c r="J77" s="176" t="str">
        <f t="shared" ca="1" si="9"/>
        <v>No Error</v>
      </c>
      <c r="K77" s="176"/>
      <c r="L77" s="176"/>
      <c r="R77" s="5"/>
      <c r="AA77" s="27">
        <f ca="1">COUNTBLANK(INDIRECT("C77"))</f>
        <v>1</v>
      </c>
      <c r="AB77" s="27">
        <f ca="1">COUNTBLANK(INDIRECT("D77"))</f>
        <v>1</v>
      </c>
      <c r="AC77" s="27">
        <f ca="1">COUNTBLANK(INDIRECT("E77"))</f>
        <v>1</v>
      </c>
      <c r="AD77" s="27">
        <f ca="1">COUNTBLANK(INDIRECT("F77"))</f>
        <v>1</v>
      </c>
      <c r="AE77" s="27">
        <f ca="1">COUNTBLANK(INDIRECT("G77"))</f>
        <v>1</v>
      </c>
      <c r="AF77" s="27">
        <f ca="1">COUNTBLANK(INDIRECT("H77"))</f>
        <v>1</v>
      </c>
      <c r="AG77" s="27">
        <f ca="1">COUNTBLANK(INDIRECT("B77"))</f>
        <v>1</v>
      </c>
    </row>
    <row r="78" spans="1:33" x14ac:dyDescent="0.25">
      <c r="A78" s="2">
        <v>50</v>
      </c>
      <c r="B78" s="63"/>
      <c r="C78" s="56"/>
      <c r="D78" s="56"/>
      <c r="E78" s="56"/>
      <c r="F78" s="56"/>
      <c r="G78" s="56"/>
      <c r="H78" s="56"/>
      <c r="I78" s="107" t="str">
        <f ca="1">IF(AND(INDIRECT("H78")&gt;=INDIRECT("F78"),AA78=0,AB78=0,AC78=0,AF78=0),"Yes",IF(AND(INDIRECT("H78")&lt;INDIRECT("F78"),AA78=0,AB78=0,AC78=0,AF78=0),"No","N/A"))</f>
        <v>N/A</v>
      </c>
      <c r="J78" s="176" t="str">
        <f t="shared" ca="1" si="9"/>
        <v>No Error</v>
      </c>
      <c r="K78" s="176"/>
      <c r="L78" s="176"/>
      <c r="R78" s="5"/>
      <c r="AA78" s="27">
        <f ca="1">COUNTBLANK(INDIRECT("C78"))</f>
        <v>1</v>
      </c>
      <c r="AB78" s="27">
        <f ca="1">COUNTBLANK(INDIRECT("D78"))</f>
        <v>1</v>
      </c>
      <c r="AC78" s="27">
        <f ca="1">COUNTBLANK(INDIRECT("E78"))</f>
        <v>1</v>
      </c>
      <c r="AD78" s="27">
        <f ca="1">COUNTBLANK(INDIRECT("F78"))</f>
        <v>1</v>
      </c>
      <c r="AE78" s="27">
        <f ca="1">COUNTBLANK(INDIRECT("G78"))</f>
        <v>1</v>
      </c>
      <c r="AF78" s="27">
        <f ca="1">COUNTBLANK(INDIRECT("H78"))</f>
        <v>1</v>
      </c>
      <c r="AG78" s="27">
        <f ca="1">COUNTBLANK(INDIRECT("B78"))</f>
        <v>1</v>
      </c>
    </row>
    <row r="79" spans="1:33" x14ac:dyDescent="0.25">
      <c r="A79" s="2">
        <v>51</v>
      </c>
      <c r="B79" s="63"/>
      <c r="C79" s="56"/>
      <c r="D79" s="56"/>
      <c r="E79" s="56"/>
      <c r="F79" s="56"/>
      <c r="G79" s="56"/>
      <c r="H79" s="56"/>
      <c r="I79" s="107" t="str">
        <f ca="1">IF(AND(INDIRECT("H79")&gt;=INDIRECT("F79"),AA79=0,AB79=0,AC79=0,AF79=0),"Yes",IF(AND(INDIRECT("H79")&lt;INDIRECT("F79"),AA79=0,AB79=0,AC79=0,AF79=0),"No","N/A"))</f>
        <v>N/A</v>
      </c>
      <c r="J79" s="176" t="str">
        <f t="shared" ca="1" si="9"/>
        <v>No Error</v>
      </c>
      <c r="K79" s="176"/>
      <c r="L79" s="176"/>
      <c r="R79" s="5"/>
      <c r="AA79" s="27">
        <f ca="1">COUNTBLANK(INDIRECT("C79"))</f>
        <v>1</v>
      </c>
      <c r="AB79" s="27">
        <f ca="1">COUNTBLANK(INDIRECT("D79"))</f>
        <v>1</v>
      </c>
      <c r="AC79" s="27">
        <f ca="1">COUNTBLANK(INDIRECT("E79"))</f>
        <v>1</v>
      </c>
      <c r="AD79" s="27">
        <f ca="1">COUNTBLANK(INDIRECT("F79"))</f>
        <v>1</v>
      </c>
      <c r="AE79" s="27">
        <f ca="1">COUNTBLANK(INDIRECT("G79"))</f>
        <v>1</v>
      </c>
      <c r="AF79" s="27">
        <f ca="1">COUNTBLANK(INDIRECT("H79"))</f>
        <v>1</v>
      </c>
      <c r="AG79" s="27">
        <f ca="1">COUNTBLANK(INDIRECT("B79"))</f>
        <v>1</v>
      </c>
    </row>
    <row r="80" spans="1:33" x14ac:dyDescent="0.25">
      <c r="A80" s="2">
        <v>52</v>
      </c>
      <c r="B80" s="63"/>
      <c r="C80" s="56"/>
      <c r="D80" s="56"/>
      <c r="E80" s="56"/>
      <c r="F80" s="56"/>
      <c r="G80" s="56"/>
      <c r="H80" s="56"/>
      <c r="I80" s="107" t="str">
        <f ca="1">IF(AND(INDIRECT("H80")&gt;=INDIRECT("F80"),AA80=0,AB80=0,AC80=0,AF80=0),"Yes",IF(AND(INDIRECT("H80")&lt;INDIRECT("F80"),AA80=0,AB80=0,AC80=0,AF80=0),"No","N/A"))</f>
        <v>N/A</v>
      </c>
      <c r="J80" s="176" t="str">
        <f t="shared" ca="1" si="9"/>
        <v>No Error</v>
      </c>
      <c r="K80" s="176"/>
      <c r="L80" s="176"/>
      <c r="R80" s="5"/>
      <c r="AA80" s="27">
        <f ca="1">COUNTBLANK(INDIRECT("C80"))</f>
        <v>1</v>
      </c>
      <c r="AB80" s="27">
        <f ca="1">COUNTBLANK(INDIRECT("D80"))</f>
        <v>1</v>
      </c>
      <c r="AC80" s="27">
        <f ca="1">COUNTBLANK(INDIRECT("E80"))</f>
        <v>1</v>
      </c>
      <c r="AD80" s="27">
        <f ca="1">COUNTBLANK(INDIRECT("F80"))</f>
        <v>1</v>
      </c>
      <c r="AE80" s="27">
        <f ca="1">COUNTBLANK(INDIRECT("G80"))</f>
        <v>1</v>
      </c>
      <c r="AF80" s="27">
        <f ca="1">COUNTBLANK(INDIRECT("H80"))</f>
        <v>1</v>
      </c>
      <c r="AG80" s="27">
        <f ca="1">COUNTBLANK(INDIRECT("B80"))</f>
        <v>1</v>
      </c>
    </row>
    <row r="81" spans="1:33" x14ac:dyDescent="0.25">
      <c r="A81" s="2">
        <v>53</v>
      </c>
      <c r="B81" s="63"/>
      <c r="C81" s="56"/>
      <c r="D81" s="56"/>
      <c r="E81" s="56"/>
      <c r="F81" s="56"/>
      <c r="G81" s="56"/>
      <c r="H81" s="56"/>
      <c r="I81" s="107" t="str">
        <f ca="1">IF(AND(INDIRECT("H81")&gt;=INDIRECT("F81"),AA81=0,AB81=0,AC81=0,AF81=0),"Yes",IF(AND(INDIRECT("H81")&lt;INDIRECT("F81"),AA81=0,AB81=0,AC81=0,AF81=0),"No","N/A"))</f>
        <v>N/A</v>
      </c>
      <c r="J81" s="176" t="str">
        <f t="shared" ca="1" si="9"/>
        <v>No Error</v>
      </c>
      <c r="K81" s="176"/>
      <c r="L81" s="176"/>
      <c r="R81" s="5"/>
      <c r="AA81" s="27">
        <f ca="1">COUNTBLANK(INDIRECT("C81"))</f>
        <v>1</v>
      </c>
      <c r="AB81" s="27">
        <f ca="1">COUNTBLANK(INDIRECT("D81"))</f>
        <v>1</v>
      </c>
      <c r="AC81" s="27">
        <f ca="1">COUNTBLANK(INDIRECT("E81"))</f>
        <v>1</v>
      </c>
      <c r="AD81" s="27">
        <f ca="1">COUNTBLANK(INDIRECT("F81"))</f>
        <v>1</v>
      </c>
      <c r="AE81" s="27">
        <f ca="1">COUNTBLANK(INDIRECT("G81"))</f>
        <v>1</v>
      </c>
      <c r="AF81" s="27">
        <f ca="1">COUNTBLANK(INDIRECT("H81"))</f>
        <v>1</v>
      </c>
      <c r="AG81" s="27">
        <f ca="1">COUNTBLANK(INDIRECT("B81"))</f>
        <v>1</v>
      </c>
    </row>
    <row r="82" spans="1:33" x14ac:dyDescent="0.25">
      <c r="A82" s="2">
        <v>54</v>
      </c>
      <c r="B82" s="63"/>
      <c r="C82" s="56"/>
      <c r="D82" s="56"/>
      <c r="E82" s="56"/>
      <c r="F82" s="56"/>
      <c r="G82" s="56"/>
      <c r="H82" s="56"/>
      <c r="I82" s="107" t="str">
        <f ca="1">IF(AND(INDIRECT("H82")&gt;=INDIRECT("F82"),AA82=0,AB82=0,AC82=0,AF82=0),"Yes",IF(AND(INDIRECT("H82")&lt;INDIRECT("F82"),AA82=0,AB82=0,AC82=0,AF82=0),"No","N/A"))</f>
        <v>N/A</v>
      </c>
      <c r="J82" s="176" t="str">
        <f t="shared" ca="1" si="9"/>
        <v>No Error</v>
      </c>
      <c r="K82" s="176"/>
      <c r="L82" s="176"/>
      <c r="R82" s="5"/>
      <c r="AA82" s="27">
        <f ca="1">COUNTBLANK(INDIRECT("C82"))</f>
        <v>1</v>
      </c>
      <c r="AB82" s="27">
        <f ca="1">COUNTBLANK(INDIRECT("D82"))</f>
        <v>1</v>
      </c>
      <c r="AC82" s="27">
        <f ca="1">COUNTBLANK(INDIRECT("E82"))</f>
        <v>1</v>
      </c>
      <c r="AD82" s="27">
        <f ca="1">COUNTBLANK(INDIRECT("F82"))</f>
        <v>1</v>
      </c>
      <c r="AE82" s="27">
        <f ca="1">COUNTBLANK(INDIRECT("G82"))</f>
        <v>1</v>
      </c>
      <c r="AF82" s="27">
        <f ca="1">COUNTBLANK(INDIRECT("H82"))</f>
        <v>1</v>
      </c>
      <c r="AG82" s="27">
        <f ca="1">COUNTBLANK(INDIRECT("B82"))</f>
        <v>1</v>
      </c>
    </row>
    <row r="83" spans="1:33" x14ac:dyDescent="0.25">
      <c r="A83" s="2">
        <v>55</v>
      </c>
      <c r="B83" s="63"/>
      <c r="C83" s="56"/>
      <c r="D83" s="56"/>
      <c r="E83" s="56"/>
      <c r="F83" s="56"/>
      <c r="G83" s="56"/>
      <c r="H83" s="56"/>
      <c r="I83" s="107" t="str">
        <f ca="1">IF(AND(INDIRECT("H83")&gt;=INDIRECT("F83"),AA83=0,AB83=0,AC83=0,AF83=0),"Yes",IF(AND(INDIRECT("H83")&lt;INDIRECT("F83"),AA83=0,AB83=0,AC83=0,AF83=0),"No","N/A"))</f>
        <v>N/A</v>
      </c>
      <c r="J83" s="176" t="str">
        <f t="shared" ca="1" si="9"/>
        <v>No Error</v>
      </c>
      <c r="K83" s="176"/>
      <c r="L83" s="176"/>
      <c r="R83" s="5"/>
      <c r="AA83" s="27">
        <f ca="1">COUNTBLANK(INDIRECT("C83"))</f>
        <v>1</v>
      </c>
      <c r="AB83" s="27">
        <f ca="1">COUNTBLANK(INDIRECT("D83"))</f>
        <v>1</v>
      </c>
      <c r="AC83" s="27">
        <f ca="1">COUNTBLANK(INDIRECT("E83"))</f>
        <v>1</v>
      </c>
      <c r="AD83" s="27">
        <f ca="1">COUNTBLANK(INDIRECT("F83"))</f>
        <v>1</v>
      </c>
      <c r="AE83" s="27">
        <f ca="1">COUNTBLANK(INDIRECT("G83"))</f>
        <v>1</v>
      </c>
      <c r="AF83" s="27">
        <f ca="1">COUNTBLANK(INDIRECT("H83"))</f>
        <v>1</v>
      </c>
      <c r="AG83" s="27">
        <f ca="1">COUNTBLANK(INDIRECT("B83"))</f>
        <v>1</v>
      </c>
    </row>
    <row r="84" spans="1:33" x14ac:dyDescent="0.25">
      <c r="A84" s="2">
        <v>56</v>
      </c>
      <c r="B84" s="63"/>
      <c r="C84" s="56"/>
      <c r="D84" s="56"/>
      <c r="E84" s="56"/>
      <c r="F84" s="56"/>
      <c r="G84" s="56"/>
      <c r="H84" s="56"/>
      <c r="I84" s="107" t="str">
        <f ca="1">IF(AND(INDIRECT("H84")&gt;=INDIRECT("F84"),AA84=0,AB84=0,AC84=0,AF84=0),"Yes",IF(AND(INDIRECT("H84")&lt;INDIRECT("F84"),AA84=0,AB84=0,AC84=0,AF84=0),"No","N/A"))</f>
        <v>N/A</v>
      </c>
      <c r="J84" s="176" t="str">
        <f t="shared" ca="1" si="9"/>
        <v>No Error</v>
      </c>
      <c r="K84" s="176"/>
      <c r="L84" s="176"/>
      <c r="R84" s="5"/>
      <c r="AA84" s="27">
        <f ca="1">COUNTBLANK(INDIRECT("C84"))</f>
        <v>1</v>
      </c>
      <c r="AB84" s="27">
        <f ca="1">COUNTBLANK(INDIRECT("D84"))</f>
        <v>1</v>
      </c>
      <c r="AC84" s="27">
        <f ca="1">COUNTBLANK(INDIRECT("E84"))</f>
        <v>1</v>
      </c>
      <c r="AD84" s="27">
        <f ca="1">COUNTBLANK(INDIRECT("F84"))</f>
        <v>1</v>
      </c>
      <c r="AE84" s="27">
        <f ca="1">COUNTBLANK(INDIRECT("G84"))</f>
        <v>1</v>
      </c>
      <c r="AF84" s="27">
        <f ca="1">COUNTBLANK(INDIRECT("H84"))</f>
        <v>1</v>
      </c>
      <c r="AG84" s="27">
        <f ca="1">COUNTBLANK(INDIRECT("B84"))</f>
        <v>1</v>
      </c>
    </row>
    <row r="85" spans="1:33" x14ac:dyDescent="0.25">
      <c r="A85" s="2">
        <v>57</v>
      </c>
      <c r="B85" s="63"/>
      <c r="C85" s="56"/>
      <c r="D85" s="56"/>
      <c r="E85" s="56"/>
      <c r="F85" s="56"/>
      <c r="G85" s="56"/>
      <c r="H85" s="56"/>
      <c r="I85" s="107" t="str">
        <f ca="1">IF(AND(INDIRECT("H85")&gt;=INDIRECT("F85"),AA85=0,AB85=0,AC85=0,AF85=0),"Yes",IF(AND(INDIRECT("H85")&lt;INDIRECT("F85"),AA85=0,AB85=0,AC85=0,AF85=0),"No","N/A"))</f>
        <v>N/A</v>
      </c>
      <c r="J85" s="176" t="str">
        <f t="shared" ca="1" si="9"/>
        <v>No Error</v>
      </c>
      <c r="K85" s="176"/>
      <c r="L85" s="176"/>
      <c r="R85" s="5"/>
      <c r="AA85" s="27">
        <f ca="1">COUNTBLANK(INDIRECT("C85"))</f>
        <v>1</v>
      </c>
      <c r="AB85" s="27">
        <f ca="1">COUNTBLANK(INDIRECT("D85"))</f>
        <v>1</v>
      </c>
      <c r="AC85" s="27">
        <f ca="1">COUNTBLANK(INDIRECT("E85"))</f>
        <v>1</v>
      </c>
      <c r="AD85" s="27">
        <f ca="1">COUNTBLANK(INDIRECT("F85"))</f>
        <v>1</v>
      </c>
      <c r="AE85" s="27">
        <f ca="1">COUNTBLANK(INDIRECT("G85"))</f>
        <v>1</v>
      </c>
      <c r="AF85" s="27">
        <f ca="1">COUNTBLANK(INDIRECT("H85"))</f>
        <v>1</v>
      </c>
      <c r="AG85" s="27">
        <f ca="1">COUNTBLANK(INDIRECT("B85"))</f>
        <v>1</v>
      </c>
    </row>
    <row r="86" spans="1:33" x14ac:dyDescent="0.25">
      <c r="A86" s="2">
        <v>58</v>
      </c>
      <c r="B86" s="63"/>
      <c r="C86" s="56"/>
      <c r="D86" s="56"/>
      <c r="E86" s="56"/>
      <c r="F86" s="56"/>
      <c r="G86" s="56"/>
      <c r="H86" s="56"/>
      <c r="I86" s="107" t="str">
        <f ca="1">IF(AND(INDIRECT("H86")&gt;=INDIRECT("F86"),AA86=0,AB86=0,AC86=0,AF86=0),"Yes",IF(AND(INDIRECT("H86")&lt;INDIRECT("F86"),AA86=0,AB86=0,AC86=0,AF86=0),"No","N/A"))</f>
        <v>N/A</v>
      </c>
      <c r="J86" s="176" t="str">
        <f t="shared" ca="1" si="9"/>
        <v>No Error</v>
      </c>
      <c r="K86" s="176"/>
      <c r="L86" s="176"/>
      <c r="R86" s="5"/>
      <c r="AA86" s="27">
        <f ca="1">COUNTBLANK(INDIRECT("C86"))</f>
        <v>1</v>
      </c>
      <c r="AB86" s="27">
        <f ca="1">COUNTBLANK(INDIRECT("D86"))</f>
        <v>1</v>
      </c>
      <c r="AC86" s="27">
        <f ca="1">COUNTBLANK(INDIRECT("E86"))</f>
        <v>1</v>
      </c>
      <c r="AD86" s="27">
        <f ca="1">COUNTBLANK(INDIRECT("F86"))</f>
        <v>1</v>
      </c>
      <c r="AE86" s="27">
        <f ca="1">COUNTBLANK(INDIRECT("G86"))</f>
        <v>1</v>
      </c>
      <c r="AF86" s="27">
        <f ca="1">COUNTBLANK(INDIRECT("H86"))</f>
        <v>1</v>
      </c>
      <c r="AG86" s="27">
        <f ca="1">COUNTBLANK(INDIRECT("B86"))</f>
        <v>1</v>
      </c>
    </row>
    <row r="87" spans="1:33" x14ac:dyDescent="0.25">
      <c r="A87" s="2">
        <v>59</v>
      </c>
      <c r="B87" s="63"/>
      <c r="C87" s="56"/>
      <c r="D87" s="56"/>
      <c r="E87" s="56"/>
      <c r="F87" s="56"/>
      <c r="G87" s="56"/>
      <c r="H87" s="56"/>
      <c r="I87" s="107" t="str">
        <f ca="1">IF(AND(INDIRECT("H87")&gt;=INDIRECT("F87"),AA87=0,AB87=0,AC87=0,AF87=0),"Yes",IF(AND(INDIRECT("H87")&lt;INDIRECT("F87"),AA87=0,AB87=0,AC87=0,AF87=0),"No","N/A"))</f>
        <v>N/A</v>
      </c>
      <c r="J87" s="176" t="str">
        <f t="shared" ca="1" si="9"/>
        <v>No Error</v>
      </c>
      <c r="K87" s="176"/>
      <c r="L87" s="176"/>
      <c r="R87" s="5"/>
      <c r="AA87" s="27">
        <f ca="1">COUNTBLANK(INDIRECT("C87"))</f>
        <v>1</v>
      </c>
      <c r="AB87" s="27">
        <f ca="1">COUNTBLANK(INDIRECT("D87"))</f>
        <v>1</v>
      </c>
      <c r="AC87" s="27">
        <f ca="1">COUNTBLANK(INDIRECT("E87"))</f>
        <v>1</v>
      </c>
      <c r="AD87" s="27">
        <f ca="1">COUNTBLANK(INDIRECT("F87"))</f>
        <v>1</v>
      </c>
      <c r="AE87" s="27">
        <f ca="1">COUNTBLANK(INDIRECT("G87"))</f>
        <v>1</v>
      </c>
      <c r="AF87" s="27">
        <f ca="1">COUNTBLANK(INDIRECT("H87"))</f>
        <v>1</v>
      </c>
      <c r="AG87" s="27">
        <f ca="1">COUNTBLANK(INDIRECT("B87"))</f>
        <v>1</v>
      </c>
    </row>
    <row r="88" spans="1:33" x14ac:dyDescent="0.25">
      <c r="A88" s="2">
        <v>60</v>
      </c>
      <c r="B88" s="63"/>
      <c r="C88" s="56"/>
      <c r="D88" s="56"/>
      <c r="E88" s="56"/>
      <c r="F88" s="56"/>
      <c r="G88" s="56"/>
      <c r="H88" s="56"/>
      <c r="I88" s="107" t="str">
        <f ca="1">IF(AND(INDIRECT("H88")&gt;=INDIRECT("F88"),AA88=0,AB88=0,AC88=0,AF88=0),"Yes",IF(AND(INDIRECT("H88")&lt;INDIRECT("F88"),AA88=0,AB88=0,AC88=0,AF88=0),"No","N/A"))</f>
        <v>N/A</v>
      </c>
      <c r="J88" s="176" t="str">
        <f t="shared" ca="1" si="9"/>
        <v>No Error</v>
      </c>
      <c r="K88" s="176"/>
      <c r="L88" s="176"/>
      <c r="R88" s="5"/>
      <c r="AA88" s="27">
        <f ca="1">COUNTBLANK(INDIRECT("C88"))</f>
        <v>1</v>
      </c>
      <c r="AB88" s="27">
        <f ca="1">COUNTBLANK(INDIRECT("D88"))</f>
        <v>1</v>
      </c>
      <c r="AC88" s="27">
        <f ca="1">COUNTBLANK(INDIRECT("E88"))</f>
        <v>1</v>
      </c>
      <c r="AD88" s="27">
        <f ca="1">COUNTBLANK(INDIRECT("F88"))</f>
        <v>1</v>
      </c>
      <c r="AE88" s="27">
        <f ca="1">COUNTBLANK(INDIRECT("G88"))</f>
        <v>1</v>
      </c>
      <c r="AF88" s="27">
        <f ca="1">COUNTBLANK(INDIRECT("H88"))</f>
        <v>1</v>
      </c>
      <c r="AG88" s="27">
        <f ca="1">COUNTBLANK(INDIRECT("B88"))</f>
        <v>1</v>
      </c>
    </row>
    <row r="89" spans="1:33" x14ac:dyDescent="0.25">
      <c r="A89" s="2">
        <v>61</v>
      </c>
      <c r="B89" s="63"/>
      <c r="C89" s="56"/>
      <c r="D89" s="56"/>
      <c r="E89" s="56"/>
      <c r="F89" s="56"/>
      <c r="G89" s="56"/>
      <c r="H89" s="56"/>
      <c r="I89" s="107" t="str">
        <f ca="1">IF(AND(INDIRECT("H89")&gt;=INDIRECT("F89"),AA89=0,AB89=0,AC89=0,AF89=0),"Yes",IF(AND(INDIRECT("H89")&lt;INDIRECT("F89"),AA89=0,AB89=0,AC89=0,AF89=0),"No","N/A"))</f>
        <v>N/A</v>
      </c>
      <c r="J89" s="176" t="str">
        <f t="shared" ca="1" si="9"/>
        <v>No Error</v>
      </c>
      <c r="K89" s="176"/>
      <c r="L89" s="176"/>
      <c r="R89" s="5"/>
      <c r="AA89" s="27">
        <f ca="1">COUNTBLANK(INDIRECT("C89"))</f>
        <v>1</v>
      </c>
      <c r="AB89" s="27">
        <f ca="1">COUNTBLANK(INDIRECT("D89"))</f>
        <v>1</v>
      </c>
      <c r="AC89" s="27">
        <f ca="1">COUNTBLANK(INDIRECT("E89"))</f>
        <v>1</v>
      </c>
      <c r="AD89" s="27">
        <f ca="1">COUNTBLANK(INDIRECT("F89"))</f>
        <v>1</v>
      </c>
      <c r="AE89" s="27">
        <f ca="1">COUNTBLANK(INDIRECT("G89"))</f>
        <v>1</v>
      </c>
      <c r="AF89" s="27">
        <f ca="1">COUNTBLANK(INDIRECT("H89"))</f>
        <v>1</v>
      </c>
      <c r="AG89" s="27">
        <f ca="1">COUNTBLANK(INDIRECT("B89"))</f>
        <v>1</v>
      </c>
    </row>
    <row r="90" spans="1:33" x14ac:dyDescent="0.25">
      <c r="A90" s="2">
        <v>62</v>
      </c>
      <c r="B90" s="63"/>
      <c r="C90" s="56"/>
      <c r="D90" s="56"/>
      <c r="E90" s="56"/>
      <c r="F90" s="56"/>
      <c r="G90" s="56"/>
      <c r="H90" s="56"/>
      <c r="I90" s="107" t="str">
        <f ca="1">IF(AND(INDIRECT("H90")&gt;=INDIRECT("F90"),AA90=0,AB90=0,AC90=0,AF90=0),"Yes",IF(AND(INDIRECT("H90")&lt;INDIRECT("F90"),AA90=0,AB90=0,AC90=0,AF90=0),"No","N/A"))</f>
        <v>N/A</v>
      </c>
      <c r="J90" s="176" t="str">
        <f t="shared" ca="1" si="9"/>
        <v>No Error</v>
      </c>
      <c r="K90" s="176"/>
      <c r="L90" s="176"/>
      <c r="R90" s="5"/>
      <c r="AA90" s="27">
        <f ca="1">COUNTBLANK(INDIRECT("C90"))</f>
        <v>1</v>
      </c>
      <c r="AB90" s="27">
        <f ca="1">COUNTBLANK(INDIRECT("D90"))</f>
        <v>1</v>
      </c>
      <c r="AC90" s="27">
        <f ca="1">COUNTBLANK(INDIRECT("E90"))</f>
        <v>1</v>
      </c>
      <c r="AD90" s="27">
        <f ca="1">COUNTBLANK(INDIRECT("F90"))</f>
        <v>1</v>
      </c>
      <c r="AE90" s="27">
        <f ca="1">COUNTBLANK(INDIRECT("G90"))</f>
        <v>1</v>
      </c>
      <c r="AF90" s="27">
        <f ca="1">COUNTBLANK(INDIRECT("H90"))</f>
        <v>1</v>
      </c>
      <c r="AG90" s="27">
        <f ca="1">COUNTBLANK(INDIRECT("B90"))</f>
        <v>1</v>
      </c>
    </row>
    <row r="91" spans="1:33" x14ac:dyDescent="0.25">
      <c r="A91" s="2">
        <v>63</v>
      </c>
      <c r="B91" s="63"/>
      <c r="C91" s="56"/>
      <c r="D91" s="56"/>
      <c r="E91" s="56"/>
      <c r="F91" s="56"/>
      <c r="G91" s="56"/>
      <c r="H91" s="56"/>
      <c r="I91" s="107" t="str">
        <f ca="1">IF(AND(INDIRECT("H91")&gt;=INDIRECT("F91"),AA91=0,AB91=0,AC91=0,AF91=0),"Yes",IF(AND(INDIRECT("H91")&lt;INDIRECT("F91"),AA91=0,AB91=0,AC91=0,AF91=0),"No","N/A"))</f>
        <v>N/A</v>
      </c>
      <c r="J91" s="176" t="str">
        <f t="shared" ca="1" si="9"/>
        <v>No Error</v>
      </c>
      <c r="K91" s="176"/>
      <c r="L91" s="176"/>
      <c r="R91" s="5"/>
      <c r="AA91" s="27">
        <f ca="1">COUNTBLANK(INDIRECT("C91"))</f>
        <v>1</v>
      </c>
      <c r="AB91" s="27">
        <f ca="1">COUNTBLANK(INDIRECT("D91"))</f>
        <v>1</v>
      </c>
      <c r="AC91" s="27">
        <f ca="1">COUNTBLANK(INDIRECT("E91"))</f>
        <v>1</v>
      </c>
      <c r="AD91" s="27">
        <f ca="1">COUNTBLANK(INDIRECT("F91"))</f>
        <v>1</v>
      </c>
      <c r="AE91" s="27">
        <f ca="1">COUNTBLANK(INDIRECT("G91"))</f>
        <v>1</v>
      </c>
      <c r="AF91" s="27">
        <f ca="1">COUNTBLANK(INDIRECT("H91"))</f>
        <v>1</v>
      </c>
      <c r="AG91" s="27">
        <f ca="1">COUNTBLANK(INDIRECT("B91"))</f>
        <v>1</v>
      </c>
    </row>
    <row r="92" spans="1:33" x14ac:dyDescent="0.25">
      <c r="A92" s="2">
        <v>64</v>
      </c>
      <c r="B92" s="63"/>
      <c r="C92" s="56"/>
      <c r="D92" s="56"/>
      <c r="E92" s="56"/>
      <c r="F92" s="56"/>
      <c r="G92" s="56"/>
      <c r="H92" s="56"/>
      <c r="I92" s="107" t="str">
        <f ca="1">IF(AND(INDIRECT("H92")&gt;=INDIRECT("F92"),AA92=0,AB92=0,AC92=0,AF92=0),"Yes",IF(AND(INDIRECT("H92")&lt;INDIRECT("F92"),AA92=0,AB92=0,AC92=0,AF92=0),"No","N/A"))</f>
        <v>N/A</v>
      </c>
      <c r="J92" s="176" t="str">
        <f t="shared" ca="1" si="9"/>
        <v>No Error</v>
      </c>
      <c r="K92" s="176"/>
      <c r="L92" s="176"/>
      <c r="R92" s="5"/>
      <c r="AA92" s="27">
        <f ca="1">COUNTBLANK(INDIRECT("C92"))</f>
        <v>1</v>
      </c>
      <c r="AB92" s="27">
        <f ca="1">COUNTBLANK(INDIRECT("D92"))</f>
        <v>1</v>
      </c>
      <c r="AC92" s="27">
        <f ca="1">COUNTBLANK(INDIRECT("E92"))</f>
        <v>1</v>
      </c>
      <c r="AD92" s="27">
        <f ca="1">COUNTBLANK(INDIRECT("F92"))</f>
        <v>1</v>
      </c>
      <c r="AE92" s="27">
        <f ca="1">COUNTBLANK(INDIRECT("G92"))</f>
        <v>1</v>
      </c>
      <c r="AF92" s="27">
        <f ca="1">COUNTBLANK(INDIRECT("H92"))</f>
        <v>1</v>
      </c>
      <c r="AG92" s="27">
        <f ca="1">COUNTBLANK(INDIRECT("B92"))</f>
        <v>1</v>
      </c>
    </row>
    <row r="93" spans="1:33" x14ac:dyDescent="0.25">
      <c r="A93" s="2">
        <v>65</v>
      </c>
      <c r="B93" s="63"/>
      <c r="C93" s="56"/>
      <c r="D93" s="56"/>
      <c r="E93" s="56"/>
      <c r="F93" s="56"/>
      <c r="G93" s="56"/>
      <c r="H93" s="56"/>
      <c r="I93" s="107" t="str">
        <f ca="1">IF(AND(INDIRECT("H93")&gt;=INDIRECT("F93"),AA93=0,AB93=0,AC93=0,AF93=0),"Yes",IF(AND(INDIRECT("H93")&lt;INDIRECT("F93"),AA93=0,AB93=0,AC93=0,AF93=0),"No","N/A"))</f>
        <v>N/A</v>
      </c>
      <c r="J93" s="176" t="str">
        <f t="shared" ca="1" si="9"/>
        <v>No Error</v>
      </c>
      <c r="K93" s="176"/>
      <c r="L93" s="176"/>
      <c r="R93" s="5"/>
      <c r="AA93" s="27">
        <f ca="1">COUNTBLANK(INDIRECT("C93"))</f>
        <v>1</v>
      </c>
      <c r="AB93" s="27">
        <f ca="1">COUNTBLANK(INDIRECT("D93"))</f>
        <v>1</v>
      </c>
      <c r="AC93" s="27">
        <f ca="1">COUNTBLANK(INDIRECT("E93"))</f>
        <v>1</v>
      </c>
      <c r="AD93" s="27">
        <f ca="1">COUNTBLANK(INDIRECT("F93"))</f>
        <v>1</v>
      </c>
      <c r="AE93" s="27">
        <f ca="1">COUNTBLANK(INDIRECT("G93"))</f>
        <v>1</v>
      </c>
      <c r="AF93" s="27">
        <f ca="1">COUNTBLANK(INDIRECT("H93"))</f>
        <v>1</v>
      </c>
      <c r="AG93" s="27">
        <f ca="1">COUNTBLANK(INDIRECT("B93"))</f>
        <v>1</v>
      </c>
    </row>
    <row r="94" spans="1:33" x14ac:dyDescent="0.25">
      <c r="A94" s="2">
        <v>66</v>
      </c>
      <c r="B94" s="63"/>
      <c r="C94" s="56"/>
      <c r="D94" s="56"/>
      <c r="E94" s="56"/>
      <c r="F94" s="56"/>
      <c r="G94" s="56"/>
      <c r="H94" s="56"/>
      <c r="I94" s="107" t="str">
        <f ca="1">IF(AND(INDIRECT("H94")&gt;=INDIRECT("F94"),AA94=0,AB94=0,AC94=0,AF94=0),"Yes",IF(AND(INDIRECT("H94")&lt;INDIRECT("F94"),AA94=0,AB94=0,AC94=0,AF94=0),"No","N/A"))</f>
        <v>N/A</v>
      </c>
      <c r="J94" s="176" t="str">
        <f t="shared" ca="1" si="9"/>
        <v>No Error</v>
      </c>
      <c r="K94" s="176"/>
      <c r="L94" s="176"/>
      <c r="R94" s="5"/>
      <c r="AA94" s="27">
        <f ca="1">COUNTBLANK(INDIRECT("C94"))</f>
        <v>1</v>
      </c>
      <c r="AB94" s="27">
        <f ca="1">COUNTBLANK(INDIRECT("D94"))</f>
        <v>1</v>
      </c>
      <c r="AC94" s="27">
        <f ca="1">COUNTBLANK(INDIRECT("E94"))</f>
        <v>1</v>
      </c>
      <c r="AD94" s="27">
        <f ca="1">COUNTBLANK(INDIRECT("F94"))</f>
        <v>1</v>
      </c>
      <c r="AE94" s="27">
        <f ca="1">COUNTBLANK(INDIRECT("G94"))</f>
        <v>1</v>
      </c>
      <c r="AF94" s="27">
        <f ca="1">COUNTBLANK(INDIRECT("H94"))</f>
        <v>1</v>
      </c>
      <c r="AG94" s="27">
        <f ca="1">COUNTBLANK(INDIRECT("B94"))</f>
        <v>1</v>
      </c>
    </row>
    <row r="95" spans="1:33" x14ac:dyDescent="0.25">
      <c r="A95" s="2">
        <v>67</v>
      </c>
      <c r="B95" s="63"/>
      <c r="C95" s="56"/>
      <c r="D95" s="56"/>
      <c r="E95" s="56"/>
      <c r="F95" s="56"/>
      <c r="G95" s="56"/>
      <c r="H95" s="56"/>
      <c r="I95" s="107" t="str">
        <f ca="1">IF(AND(INDIRECT("H95")&gt;=INDIRECT("F95"),AA95=0,AB95=0,AC95=0,AF95=0),"Yes",IF(AND(INDIRECT("H95")&lt;INDIRECT("F95"),AA95=0,AB95=0,AC95=0,AF95=0),"No","N/A"))</f>
        <v>N/A</v>
      </c>
      <c r="J95" s="176" t="str">
        <f t="shared" ca="1" si="9"/>
        <v>No Error</v>
      </c>
      <c r="K95" s="176"/>
      <c r="L95" s="176"/>
      <c r="R95" s="5"/>
      <c r="AA95" s="27">
        <f ca="1">COUNTBLANK(INDIRECT("C95"))</f>
        <v>1</v>
      </c>
      <c r="AB95" s="27">
        <f ca="1">COUNTBLANK(INDIRECT("D95"))</f>
        <v>1</v>
      </c>
      <c r="AC95" s="27">
        <f ca="1">COUNTBLANK(INDIRECT("E95"))</f>
        <v>1</v>
      </c>
      <c r="AD95" s="27">
        <f ca="1">COUNTBLANK(INDIRECT("F95"))</f>
        <v>1</v>
      </c>
      <c r="AE95" s="27">
        <f ca="1">COUNTBLANK(INDIRECT("G95"))</f>
        <v>1</v>
      </c>
      <c r="AF95" s="27">
        <f ca="1">COUNTBLANK(INDIRECT("H95"))</f>
        <v>1</v>
      </c>
      <c r="AG95" s="27">
        <f ca="1">COUNTBLANK(INDIRECT("B95"))</f>
        <v>1</v>
      </c>
    </row>
    <row r="96" spans="1:33" x14ac:dyDescent="0.25">
      <c r="A96" s="2">
        <v>68</v>
      </c>
      <c r="B96" s="63"/>
      <c r="C96" s="56"/>
      <c r="D96" s="56"/>
      <c r="E96" s="56"/>
      <c r="F96" s="56"/>
      <c r="G96" s="56"/>
      <c r="H96" s="56"/>
      <c r="I96" s="107" t="str">
        <f ca="1">IF(AND(INDIRECT("H96")&gt;=INDIRECT("F96"),AA96=0,AB96=0,AC96=0,AF96=0),"Yes",IF(AND(INDIRECT("H96")&lt;INDIRECT("F96"),AA96=0,AB96=0,AC96=0,AF96=0),"No","N/A"))</f>
        <v>N/A</v>
      </c>
      <c r="J96" s="176" t="str">
        <f t="shared" ca="1" si="9"/>
        <v>No Error</v>
      </c>
      <c r="K96" s="176"/>
      <c r="L96" s="176"/>
      <c r="R96" s="5"/>
      <c r="AA96" s="27">
        <f ca="1">COUNTBLANK(INDIRECT("C96"))</f>
        <v>1</v>
      </c>
      <c r="AB96" s="27">
        <f ca="1">COUNTBLANK(INDIRECT("D96"))</f>
        <v>1</v>
      </c>
      <c r="AC96" s="27">
        <f ca="1">COUNTBLANK(INDIRECT("E96"))</f>
        <v>1</v>
      </c>
      <c r="AD96" s="27">
        <f ca="1">COUNTBLANK(INDIRECT("F96"))</f>
        <v>1</v>
      </c>
      <c r="AE96" s="27">
        <f ca="1">COUNTBLANK(INDIRECT("G96"))</f>
        <v>1</v>
      </c>
      <c r="AF96" s="27">
        <f ca="1">COUNTBLANK(INDIRECT("H96"))</f>
        <v>1</v>
      </c>
      <c r="AG96" s="27">
        <f ca="1">COUNTBLANK(INDIRECT("B96"))</f>
        <v>1</v>
      </c>
    </row>
    <row r="97" spans="1:33" x14ac:dyDescent="0.25">
      <c r="A97" s="2">
        <v>69</v>
      </c>
      <c r="B97" s="63"/>
      <c r="C97" s="56"/>
      <c r="D97" s="56"/>
      <c r="E97" s="56"/>
      <c r="F97" s="56"/>
      <c r="G97" s="56"/>
      <c r="H97" s="56"/>
      <c r="I97" s="107" t="str">
        <f ca="1">IF(AND(INDIRECT("H97")&gt;=INDIRECT("F97"),AA97=0,AB97=0,AC97=0,AF97=0),"Yes",IF(AND(INDIRECT("H97")&lt;INDIRECT("F97"),AA97=0,AB97=0,AC97=0,AF97=0),"No","N/A"))</f>
        <v>N/A</v>
      </c>
      <c r="J97" s="176" t="str">
        <f t="shared" ca="1" si="9"/>
        <v>No Error</v>
      </c>
      <c r="K97" s="176"/>
      <c r="L97" s="176"/>
      <c r="R97" s="5"/>
      <c r="AA97" s="27">
        <f ca="1">COUNTBLANK(INDIRECT("C97"))</f>
        <v>1</v>
      </c>
      <c r="AB97" s="27">
        <f ca="1">COUNTBLANK(INDIRECT("D97"))</f>
        <v>1</v>
      </c>
      <c r="AC97" s="27">
        <f ca="1">COUNTBLANK(INDIRECT("E97"))</f>
        <v>1</v>
      </c>
      <c r="AD97" s="27">
        <f ca="1">COUNTBLANK(INDIRECT("F97"))</f>
        <v>1</v>
      </c>
      <c r="AE97" s="27">
        <f ca="1">COUNTBLANK(INDIRECT("G97"))</f>
        <v>1</v>
      </c>
      <c r="AF97" s="27">
        <f ca="1">COUNTBLANK(INDIRECT("H97"))</f>
        <v>1</v>
      </c>
      <c r="AG97" s="27">
        <f ca="1">COUNTBLANK(INDIRECT("B97"))</f>
        <v>1</v>
      </c>
    </row>
    <row r="98" spans="1:33" x14ac:dyDescent="0.25">
      <c r="A98" s="2">
        <v>70</v>
      </c>
      <c r="B98" s="63"/>
      <c r="C98" s="56"/>
      <c r="D98" s="56"/>
      <c r="E98" s="56"/>
      <c r="F98" s="56"/>
      <c r="G98" s="56"/>
      <c r="H98" s="56"/>
      <c r="I98" s="107" t="str">
        <f ca="1">IF(AND(INDIRECT("H98")&gt;=INDIRECT("F98"),AA98=0,AB98=0,AC98=0,AF98=0),"Yes",IF(AND(INDIRECT("H98")&lt;INDIRECT("F98"),AA98=0,AB98=0,AC98=0,AF98=0),"No","N/A"))</f>
        <v>N/A</v>
      </c>
      <c r="J98" s="176" t="str">
        <f t="shared" ca="1" si="9"/>
        <v>No Error</v>
      </c>
      <c r="K98" s="176"/>
      <c r="L98" s="176"/>
      <c r="R98" s="5"/>
      <c r="AA98" s="27">
        <f ca="1">COUNTBLANK(INDIRECT("C98"))</f>
        <v>1</v>
      </c>
      <c r="AB98" s="27">
        <f ca="1">COUNTBLANK(INDIRECT("D98"))</f>
        <v>1</v>
      </c>
      <c r="AC98" s="27">
        <f ca="1">COUNTBLANK(INDIRECT("E98"))</f>
        <v>1</v>
      </c>
      <c r="AD98" s="27">
        <f ca="1">COUNTBLANK(INDIRECT("F98"))</f>
        <v>1</v>
      </c>
      <c r="AE98" s="27">
        <f ca="1">COUNTBLANK(INDIRECT("G98"))</f>
        <v>1</v>
      </c>
      <c r="AF98" s="27">
        <f ca="1">COUNTBLANK(INDIRECT("H98"))</f>
        <v>1</v>
      </c>
      <c r="AG98" s="27">
        <f ca="1">COUNTBLANK(INDIRECT("B98"))</f>
        <v>1</v>
      </c>
    </row>
    <row r="99" spans="1:33" x14ac:dyDescent="0.25">
      <c r="A99" s="2">
        <v>71</v>
      </c>
      <c r="B99" s="63"/>
      <c r="C99" s="56"/>
      <c r="D99" s="56"/>
      <c r="E99" s="56"/>
      <c r="F99" s="56"/>
      <c r="G99" s="56"/>
      <c r="H99" s="56"/>
      <c r="I99" s="107" t="str">
        <f ca="1">IF(AND(INDIRECT("H99")&gt;=INDIRECT("F99"),AA99=0,AB99=0,AC99=0,AF99=0),"Yes",IF(AND(INDIRECT("H99")&lt;INDIRECT("F99"),AA99=0,AB99=0,AC99=0,AF99=0),"No","N/A"))</f>
        <v>N/A</v>
      </c>
      <c r="J99" s="176" t="str">
        <f t="shared" ca="1" si="9"/>
        <v>No Error</v>
      </c>
      <c r="K99" s="176"/>
      <c r="L99" s="176"/>
      <c r="R99" s="5"/>
      <c r="AA99" s="27">
        <f ca="1">COUNTBLANK(INDIRECT("C99"))</f>
        <v>1</v>
      </c>
      <c r="AB99" s="27">
        <f ca="1">COUNTBLANK(INDIRECT("D99"))</f>
        <v>1</v>
      </c>
      <c r="AC99" s="27">
        <f ca="1">COUNTBLANK(INDIRECT("E99"))</f>
        <v>1</v>
      </c>
      <c r="AD99" s="27">
        <f ca="1">COUNTBLANK(INDIRECT("F99"))</f>
        <v>1</v>
      </c>
      <c r="AE99" s="27">
        <f ca="1">COUNTBLANK(INDIRECT("G99"))</f>
        <v>1</v>
      </c>
      <c r="AF99" s="27">
        <f ca="1">COUNTBLANK(INDIRECT("H99"))</f>
        <v>1</v>
      </c>
      <c r="AG99" s="27">
        <f ca="1">COUNTBLANK(INDIRECT("B99"))</f>
        <v>1</v>
      </c>
    </row>
    <row r="100" spans="1:33" x14ac:dyDescent="0.25">
      <c r="A100" s="2">
        <v>72</v>
      </c>
      <c r="B100" s="63"/>
      <c r="C100" s="56"/>
      <c r="D100" s="56"/>
      <c r="E100" s="56"/>
      <c r="F100" s="56"/>
      <c r="G100" s="56"/>
      <c r="H100" s="56"/>
      <c r="I100" s="107" t="str">
        <f ca="1">IF(AND(INDIRECT("H100")&gt;=INDIRECT("F100"),AA100=0,AB100=0,AC100=0,AF100=0),"Yes",IF(AND(INDIRECT("H100")&lt;INDIRECT("F100"),AA100=0,AB100=0,AC100=0,AF100=0),"No","N/A"))</f>
        <v>N/A</v>
      </c>
      <c r="J100" s="176" t="str">
        <f t="shared" ca="1" si="9"/>
        <v>No Error</v>
      </c>
      <c r="K100" s="176"/>
      <c r="L100" s="176"/>
      <c r="R100" s="5"/>
      <c r="AA100" s="27">
        <f ca="1">COUNTBLANK(INDIRECT("C100"))</f>
        <v>1</v>
      </c>
      <c r="AB100" s="27">
        <f ca="1">COUNTBLANK(INDIRECT("D100"))</f>
        <v>1</v>
      </c>
      <c r="AC100" s="27">
        <f ca="1">COUNTBLANK(INDIRECT("E100"))</f>
        <v>1</v>
      </c>
      <c r="AD100" s="27">
        <f ca="1">COUNTBLANK(INDIRECT("F100"))</f>
        <v>1</v>
      </c>
      <c r="AE100" s="27">
        <f ca="1">COUNTBLANK(INDIRECT("G100"))</f>
        <v>1</v>
      </c>
      <c r="AF100" s="27">
        <f ca="1">COUNTBLANK(INDIRECT("H100"))</f>
        <v>1</v>
      </c>
      <c r="AG100" s="27">
        <f ca="1">COUNTBLANK(INDIRECT("B100"))</f>
        <v>1</v>
      </c>
    </row>
    <row r="101" spans="1:33" x14ac:dyDescent="0.25">
      <c r="A101" s="2">
        <v>73</v>
      </c>
      <c r="B101" s="63"/>
      <c r="C101" s="56"/>
      <c r="D101" s="56"/>
      <c r="E101" s="56"/>
      <c r="F101" s="56"/>
      <c r="G101" s="56"/>
      <c r="H101" s="56"/>
      <c r="I101" s="107" t="str">
        <f ca="1">IF(AND(INDIRECT("H101")&gt;=INDIRECT("F101"),AA101=0,AB101=0,AC101=0,AF101=0),"Yes",IF(AND(INDIRECT("H101")&lt;INDIRECT("F101"),AA101=0,AB101=0,AC101=0,AF101=0),"No","N/A"))</f>
        <v>N/A</v>
      </c>
      <c r="J101" s="176" t="str">
        <f t="shared" ca="1" si="9"/>
        <v>No Error</v>
      </c>
      <c r="K101" s="176"/>
      <c r="L101" s="176"/>
      <c r="R101" s="5"/>
      <c r="AA101" s="27">
        <f ca="1">COUNTBLANK(INDIRECT("C101"))</f>
        <v>1</v>
      </c>
      <c r="AB101" s="27">
        <f ca="1">COUNTBLANK(INDIRECT("D101"))</f>
        <v>1</v>
      </c>
      <c r="AC101" s="27">
        <f ca="1">COUNTBLANK(INDIRECT("E101"))</f>
        <v>1</v>
      </c>
      <c r="AD101" s="27">
        <f ca="1">COUNTBLANK(INDIRECT("F101"))</f>
        <v>1</v>
      </c>
      <c r="AE101" s="27">
        <f ca="1">COUNTBLANK(INDIRECT("G101"))</f>
        <v>1</v>
      </c>
      <c r="AF101" s="27">
        <f ca="1">COUNTBLANK(INDIRECT("H101"))</f>
        <v>1</v>
      </c>
      <c r="AG101" s="27">
        <f ca="1">COUNTBLANK(INDIRECT("B101"))</f>
        <v>1</v>
      </c>
    </row>
    <row r="102" spans="1:33" x14ac:dyDescent="0.25">
      <c r="A102" s="2">
        <v>74</v>
      </c>
      <c r="B102" s="63"/>
      <c r="C102" s="56"/>
      <c r="D102" s="56"/>
      <c r="E102" s="56"/>
      <c r="F102" s="56"/>
      <c r="G102" s="56"/>
      <c r="H102" s="56"/>
      <c r="I102" s="107" t="str">
        <f ca="1">IF(AND(INDIRECT("H102")&gt;=INDIRECT("F102"),AA102=0,AB102=0,AC102=0,AF102=0),"Yes",IF(AND(INDIRECT("H102")&lt;INDIRECT("F102"),AA102=0,AB102=0,AC102=0,AF102=0),"No","N/A"))</f>
        <v>N/A</v>
      </c>
      <c r="J102" s="176" t="str">
        <f t="shared" ca="1" si="9"/>
        <v>No Error</v>
      </c>
      <c r="K102" s="176"/>
      <c r="L102" s="176"/>
      <c r="R102" s="5"/>
      <c r="AA102" s="27">
        <f ca="1">COUNTBLANK(INDIRECT("C102"))</f>
        <v>1</v>
      </c>
      <c r="AB102" s="27">
        <f ca="1">COUNTBLANK(INDIRECT("D102"))</f>
        <v>1</v>
      </c>
      <c r="AC102" s="27">
        <f ca="1">COUNTBLANK(INDIRECT("E102"))</f>
        <v>1</v>
      </c>
      <c r="AD102" s="27">
        <f ca="1">COUNTBLANK(INDIRECT("F102"))</f>
        <v>1</v>
      </c>
      <c r="AE102" s="27">
        <f ca="1">COUNTBLANK(INDIRECT("G102"))</f>
        <v>1</v>
      </c>
      <c r="AF102" s="27">
        <f ca="1">COUNTBLANK(INDIRECT("H102"))</f>
        <v>1</v>
      </c>
      <c r="AG102" s="27">
        <f ca="1">COUNTBLANK(INDIRECT("B102"))</f>
        <v>1</v>
      </c>
    </row>
    <row r="103" spans="1:33" x14ac:dyDescent="0.25">
      <c r="A103" s="2">
        <v>75</v>
      </c>
      <c r="B103" s="63"/>
      <c r="C103" s="56"/>
      <c r="D103" s="56"/>
      <c r="E103" s="56"/>
      <c r="F103" s="56"/>
      <c r="G103" s="56"/>
      <c r="H103" s="56"/>
      <c r="I103" s="107" t="str">
        <f ca="1">IF(AND(INDIRECT("H103")&gt;=INDIRECT("F103"),AA103=0,AB103=0,AC103=0,AF103=0),"Yes",IF(AND(INDIRECT("H103")&lt;INDIRECT("F103"),AA103=0,AB103=0,AC103=0,AF103=0),"No","N/A"))</f>
        <v>N/A</v>
      </c>
      <c r="J103" s="176" t="str">
        <f t="shared" ca="1" si="9"/>
        <v>No Error</v>
      </c>
      <c r="K103" s="176"/>
      <c r="L103" s="176"/>
      <c r="R103" s="5"/>
      <c r="AA103" s="61">
        <f ca="1">COUNTBLANK(INDIRECT("C103"))</f>
        <v>1</v>
      </c>
      <c r="AB103" s="61">
        <f ca="1">COUNTBLANK(INDIRECT("D103"))</f>
        <v>1</v>
      </c>
      <c r="AC103" s="61">
        <f ca="1">COUNTBLANK(INDIRECT("E103"))</f>
        <v>1</v>
      </c>
      <c r="AD103" s="61">
        <f ca="1">COUNTBLANK(INDIRECT("F103"))</f>
        <v>1</v>
      </c>
      <c r="AE103" s="61">
        <f ca="1">COUNTBLANK(INDIRECT("G103"))</f>
        <v>1</v>
      </c>
      <c r="AF103" s="61">
        <f ca="1">COUNTBLANK(INDIRECT("H103"))</f>
        <v>1</v>
      </c>
      <c r="AG103" s="61">
        <f ca="1">COUNTBLANK(INDIRECT("B103"))</f>
        <v>1</v>
      </c>
    </row>
    <row r="104" spans="1:33" x14ac:dyDescent="0.25">
      <c r="A104" s="2">
        <v>76</v>
      </c>
      <c r="B104" s="63"/>
      <c r="C104" s="56"/>
      <c r="D104" s="56"/>
      <c r="E104" s="56"/>
      <c r="F104" s="56"/>
      <c r="G104" s="56"/>
      <c r="H104" s="56"/>
      <c r="I104" s="107" t="str">
        <f ca="1">IF(AND(INDIRECT("H104")&gt;=INDIRECT("F104"),AA104=0,AB104=0,AC104=0,AF104=0),"Yes",IF(AND(INDIRECT("H104")&lt;INDIRECT("F104"),AA104=0,AB104=0,AC104=0,AF104=0),"No","N/A"))</f>
        <v>N/A</v>
      </c>
      <c r="J104" s="176" t="str">
        <f t="shared" ca="1" si="9"/>
        <v>No Error</v>
      </c>
      <c r="K104" s="176"/>
      <c r="L104" s="176"/>
      <c r="R104" s="5"/>
      <c r="AA104" s="61">
        <f ca="1">COUNTBLANK(INDIRECT("C104"))</f>
        <v>1</v>
      </c>
      <c r="AB104" s="61">
        <f ca="1">COUNTBLANK(INDIRECT("D104"))</f>
        <v>1</v>
      </c>
      <c r="AC104" s="61">
        <f ca="1">COUNTBLANK(INDIRECT("E104"))</f>
        <v>1</v>
      </c>
      <c r="AD104" s="61">
        <f ca="1">COUNTBLANK(INDIRECT("F104"))</f>
        <v>1</v>
      </c>
      <c r="AE104" s="61">
        <f ca="1">COUNTBLANK(INDIRECT("G104"))</f>
        <v>1</v>
      </c>
      <c r="AF104" s="61">
        <f ca="1">COUNTBLANK(INDIRECT("H104"))</f>
        <v>1</v>
      </c>
      <c r="AG104" s="61">
        <f ca="1">COUNTBLANK(INDIRECT("B104"))</f>
        <v>1</v>
      </c>
    </row>
    <row r="105" spans="1:33" x14ac:dyDescent="0.25">
      <c r="A105" s="2">
        <v>77</v>
      </c>
      <c r="B105" s="63"/>
      <c r="C105" s="56"/>
      <c r="D105" s="56"/>
      <c r="E105" s="56"/>
      <c r="F105" s="56"/>
      <c r="G105" s="56"/>
      <c r="H105" s="56"/>
      <c r="I105" s="107" t="str">
        <f ca="1">IF(AND(INDIRECT("H105")&gt;=INDIRECT("F105"),AA105=0,AB105=0,AC105=0,AF105=0),"Yes",IF(AND(INDIRECT("H105")&lt;INDIRECT("F105"),AA105=0,AB105=0,AC105=0,AF105=0),"No","N/A"))</f>
        <v>N/A</v>
      </c>
      <c r="J105" s="176" t="str">
        <f t="shared" ca="1" si="9"/>
        <v>No Error</v>
      </c>
      <c r="K105" s="176"/>
      <c r="L105" s="176"/>
      <c r="R105" s="5"/>
      <c r="AA105" s="61">
        <f ca="1">COUNTBLANK(INDIRECT("C105"))</f>
        <v>1</v>
      </c>
      <c r="AB105" s="61">
        <f ca="1">COUNTBLANK(INDIRECT("D105"))</f>
        <v>1</v>
      </c>
      <c r="AC105" s="61">
        <f ca="1">COUNTBLANK(INDIRECT("E105"))</f>
        <v>1</v>
      </c>
      <c r="AD105" s="61">
        <f ca="1">COUNTBLANK(INDIRECT("F105"))</f>
        <v>1</v>
      </c>
      <c r="AE105" s="61">
        <f ca="1">COUNTBLANK(INDIRECT("G105"))</f>
        <v>1</v>
      </c>
      <c r="AF105" s="61">
        <f ca="1">COUNTBLANK(INDIRECT("H105"))</f>
        <v>1</v>
      </c>
      <c r="AG105" s="61">
        <f ca="1">COUNTBLANK(INDIRECT("B105"))</f>
        <v>1</v>
      </c>
    </row>
    <row r="106" spans="1:33" x14ac:dyDescent="0.25">
      <c r="A106" s="2">
        <v>78</v>
      </c>
      <c r="B106" s="63"/>
      <c r="C106" s="56"/>
      <c r="D106" s="56"/>
      <c r="E106" s="56"/>
      <c r="F106" s="56"/>
      <c r="G106" s="56"/>
      <c r="H106" s="56"/>
      <c r="I106" s="107" t="str">
        <f ca="1">IF(AND(INDIRECT("H106")&gt;=INDIRECT("F106"),AA106=0,AB106=0,AC106=0,AF106=0),"Yes",IF(AND(INDIRECT("H106")&lt;INDIRECT("F106"),AA106=0,AB106=0,AC106=0,AF106=0),"No","N/A"))</f>
        <v>N/A</v>
      </c>
      <c r="J106" s="176" t="str">
        <f t="shared" ref="J106:J152" ca="1" si="10">IF(AND(AF106=0,AG106=0,AA106=0,AB106=0,AC106=0,AD106=0),"No Error",IF(AND(AF106=1,AG106=1,AA106=1,AB106=1,AC106=1,AD106=1),"No Error","Please supply all information"))</f>
        <v>No Error</v>
      </c>
      <c r="K106" s="176"/>
      <c r="L106" s="176"/>
      <c r="R106" s="5"/>
      <c r="AA106" s="61">
        <f ca="1">COUNTBLANK(INDIRECT("C106"))</f>
        <v>1</v>
      </c>
      <c r="AB106" s="61">
        <f ca="1">COUNTBLANK(INDIRECT("D106"))</f>
        <v>1</v>
      </c>
      <c r="AC106" s="61">
        <f ca="1">COUNTBLANK(INDIRECT("E106"))</f>
        <v>1</v>
      </c>
      <c r="AD106" s="61">
        <f ca="1">COUNTBLANK(INDIRECT("F106"))</f>
        <v>1</v>
      </c>
      <c r="AE106" s="61">
        <f ca="1">COUNTBLANK(INDIRECT("G106"))</f>
        <v>1</v>
      </c>
      <c r="AF106" s="61">
        <f ca="1">COUNTBLANK(INDIRECT("H106"))</f>
        <v>1</v>
      </c>
      <c r="AG106" s="61">
        <f ca="1">COUNTBLANK(INDIRECT("B106"))</f>
        <v>1</v>
      </c>
    </row>
    <row r="107" spans="1:33" x14ac:dyDescent="0.25">
      <c r="A107" s="2">
        <v>79</v>
      </c>
      <c r="B107" s="63"/>
      <c r="C107" s="56"/>
      <c r="D107" s="56"/>
      <c r="E107" s="56"/>
      <c r="F107" s="56"/>
      <c r="G107" s="56"/>
      <c r="H107" s="56"/>
      <c r="I107" s="107" t="str">
        <f ca="1">IF(AND(INDIRECT("H107")&gt;=INDIRECT("F107"),AA107=0,AB107=0,AC107=0,AF107=0),"Yes",IF(AND(INDIRECT("H107")&lt;INDIRECT("F107"),AA107=0,AB107=0,AC107=0,AF107=0),"No","N/A"))</f>
        <v>N/A</v>
      </c>
      <c r="J107" s="176" t="str">
        <f t="shared" ca="1" si="10"/>
        <v>No Error</v>
      </c>
      <c r="K107" s="176"/>
      <c r="L107" s="176"/>
      <c r="R107" s="5"/>
      <c r="AA107" s="61">
        <f ca="1">COUNTBLANK(INDIRECT("C107"))</f>
        <v>1</v>
      </c>
      <c r="AB107" s="61">
        <f ca="1">COUNTBLANK(INDIRECT("D107"))</f>
        <v>1</v>
      </c>
      <c r="AC107" s="61">
        <f ca="1">COUNTBLANK(INDIRECT("E107"))</f>
        <v>1</v>
      </c>
      <c r="AD107" s="61">
        <f ca="1">COUNTBLANK(INDIRECT("F107"))</f>
        <v>1</v>
      </c>
      <c r="AE107" s="61">
        <f ca="1">COUNTBLANK(INDIRECT("G107"))</f>
        <v>1</v>
      </c>
      <c r="AF107" s="61">
        <f ca="1">COUNTBLANK(INDIRECT("H107"))</f>
        <v>1</v>
      </c>
      <c r="AG107" s="61">
        <f ca="1">COUNTBLANK(INDIRECT("B107"))</f>
        <v>1</v>
      </c>
    </row>
    <row r="108" spans="1:33" x14ac:dyDescent="0.25">
      <c r="A108" s="2">
        <v>80</v>
      </c>
      <c r="B108" s="63"/>
      <c r="C108" s="56"/>
      <c r="D108" s="56"/>
      <c r="E108" s="56"/>
      <c r="F108" s="56"/>
      <c r="G108" s="56"/>
      <c r="H108" s="56"/>
      <c r="I108" s="107" t="str">
        <f ca="1">IF(AND(INDIRECT("H108")&gt;=INDIRECT("F108"),AA108=0,AB108=0,AC108=0,AF108=0),"Yes",IF(AND(INDIRECT("H108")&lt;INDIRECT("F108"),AA108=0,AB108=0,AC108=0,AF108=0),"No","N/A"))</f>
        <v>N/A</v>
      </c>
      <c r="J108" s="176" t="str">
        <f t="shared" ca="1" si="10"/>
        <v>No Error</v>
      </c>
      <c r="K108" s="176"/>
      <c r="L108" s="176"/>
      <c r="R108" s="5"/>
      <c r="AA108" s="61">
        <f ca="1">COUNTBLANK(INDIRECT("C108"))</f>
        <v>1</v>
      </c>
      <c r="AB108" s="61">
        <f ca="1">COUNTBLANK(INDIRECT("D108"))</f>
        <v>1</v>
      </c>
      <c r="AC108" s="61">
        <f ca="1">COUNTBLANK(INDIRECT("E108"))</f>
        <v>1</v>
      </c>
      <c r="AD108" s="61">
        <f ca="1">COUNTBLANK(INDIRECT("F108"))</f>
        <v>1</v>
      </c>
      <c r="AE108" s="61">
        <f ca="1">COUNTBLANK(INDIRECT("G108"))</f>
        <v>1</v>
      </c>
      <c r="AF108" s="61">
        <f ca="1">COUNTBLANK(INDIRECT("H108"))</f>
        <v>1</v>
      </c>
      <c r="AG108" s="61">
        <f ca="1">COUNTBLANK(INDIRECT("B108"))</f>
        <v>1</v>
      </c>
    </row>
    <row r="109" spans="1:33" x14ac:dyDescent="0.25">
      <c r="A109" s="2">
        <v>81</v>
      </c>
      <c r="B109" s="63"/>
      <c r="C109" s="56"/>
      <c r="D109" s="56"/>
      <c r="E109" s="56"/>
      <c r="F109" s="56"/>
      <c r="G109" s="56"/>
      <c r="H109" s="56"/>
      <c r="I109" s="107" t="str">
        <f ca="1">IF(AND(INDIRECT("H109")&gt;=INDIRECT("F109"),AA109=0,AB109=0,AC109=0,AF109=0),"Yes",IF(AND(INDIRECT("H109")&lt;INDIRECT("F109"),AA109=0,AB109=0,AC109=0,AF109=0),"No","N/A"))</f>
        <v>N/A</v>
      </c>
      <c r="J109" s="176" t="str">
        <f t="shared" ca="1" si="10"/>
        <v>No Error</v>
      </c>
      <c r="K109" s="176"/>
      <c r="L109" s="176"/>
      <c r="R109" s="5"/>
      <c r="AA109" s="61">
        <f ca="1">COUNTBLANK(INDIRECT("C109"))</f>
        <v>1</v>
      </c>
      <c r="AB109" s="61">
        <f ca="1">COUNTBLANK(INDIRECT("D109"))</f>
        <v>1</v>
      </c>
      <c r="AC109" s="61">
        <f ca="1">COUNTBLANK(INDIRECT("E109"))</f>
        <v>1</v>
      </c>
      <c r="AD109" s="61">
        <f ca="1">COUNTBLANK(INDIRECT("F109"))</f>
        <v>1</v>
      </c>
      <c r="AE109" s="61">
        <f ca="1">COUNTBLANK(INDIRECT("G109"))</f>
        <v>1</v>
      </c>
      <c r="AF109" s="61">
        <f ca="1">COUNTBLANK(INDIRECT("H109"))</f>
        <v>1</v>
      </c>
      <c r="AG109" s="61">
        <f ca="1">COUNTBLANK(INDIRECT("B109"))</f>
        <v>1</v>
      </c>
    </row>
    <row r="110" spans="1:33" x14ac:dyDescent="0.25">
      <c r="A110" s="2">
        <v>82</v>
      </c>
      <c r="B110" s="63"/>
      <c r="C110" s="56"/>
      <c r="D110" s="56"/>
      <c r="E110" s="56"/>
      <c r="F110" s="56"/>
      <c r="G110" s="56"/>
      <c r="H110" s="56"/>
      <c r="I110" s="107" t="str">
        <f ca="1">IF(AND(INDIRECT("H110")&gt;=INDIRECT("F110"),AA110=0,AB110=0,AC110=0,AF110=0),"Yes",IF(AND(INDIRECT("H110")&lt;INDIRECT("F110"),AA110=0,AB110=0,AC110=0,AF110=0),"No","N/A"))</f>
        <v>N/A</v>
      </c>
      <c r="J110" s="176" t="str">
        <f t="shared" ca="1" si="10"/>
        <v>No Error</v>
      </c>
      <c r="K110" s="176"/>
      <c r="L110" s="176"/>
      <c r="R110" s="5"/>
      <c r="AA110" s="61">
        <f ca="1">COUNTBLANK(INDIRECT("C110"))</f>
        <v>1</v>
      </c>
      <c r="AB110" s="61">
        <f ca="1">COUNTBLANK(INDIRECT("D110"))</f>
        <v>1</v>
      </c>
      <c r="AC110" s="61">
        <f ca="1">COUNTBLANK(INDIRECT("E110"))</f>
        <v>1</v>
      </c>
      <c r="AD110" s="61">
        <f ca="1">COUNTBLANK(INDIRECT("F110"))</f>
        <v>1</v>
      </c>
      <c r="AE110" s="61">
        <f ca="1">COUNTBLANK(INDIRECT("G110"))</f>
        <v>1</v>
      </c>
      <c r="AF110" s="61">
        <f ca="1">COUNTBLANK(INDIRECT("H110"))</f>
        <v>1</v>
      </c>
      <c r="AG110" s="61">
        <f ca="1">COUNTBLANK(INDIRECT("B110"))</f>
        <v>1</v>
      </c>
    </row>
    <row r="111" spans="1:33" x14ac:dyDescent="0.25">
      <c r="A111" s="2">
        <v>83</v>
      </c>
      <c r="B111" s="63"/>
      <c r="C111" s="56"/>
      <c r="D111" s="56"/>
      <c r="E111" s="56"/>
      <c r="F111" s="56"/>
      <c r="G111" s="56"/>
      <c r="H111" s="56"/>
      <c r="I111" s="107" t="str">
        <f ca="1">IF(AND(INDIRECT("H111")&gt;=INDIRECT("F111"),AA111=0,AB111=0,AC111=0,AF111=0),"Yes",IF(AND(INDIRECT("H111")&lt;INDIRECT("F111"),AA111=0,AB111=0,AC111=0,AF111=0),"No","N/A"))</f>
        <v>N/A</v>
      </c>
      <c r="J111" s="176" t="str">
        <f t="shared" ca="1" si="10"/>
        <v>No Error</v>
      </c>
      <c r="K111" s="176"/>
      <c r="L111" s="176"/>
      <c r="R111" s="5"/>
      <c r="AA111" s="61">
        <f ca="1">COUNTBLANK(INDIRECT("C111"))</f>
        <v>1</v>
      </c>
      <c r="AB111" s="61">
        <f ca="1">COUNTBLANK(INDIRECT("D111"))</f>
        <v>1</v>
      </c>
      <c r="AC111" s="61">
        <f ca="1">COUNTBLANK(INDIRECT("E111"))</f>
        <v>1</v>
      </c>
      <c r="AD111" s="61">
        <f ca="1">COUNTBLANK(INDIRECT("F111"))</f>
        <v>1</v>
      </c>
      <c r="AE111" s="61">
        <f ca="1">COUNTBLANK(INDIRECT("G111"))</f>
        <v>1</v>
      </c>
      <c r="AF111" s="61">
        <f ca="1">COUNTBLANK(INDIRECT("H111"))</f>
        <v>1</v>
      </c>
      <c r="AG111" s="61">
        <f ca="1">COUNTBLANK(INDIRECT("B111"))</f>
        <v>1</v>
      </c>
    </row>
    <row r="112" spans="1:33" x14ac:dyDescent="0.25">
      <c r="A112" s="2">
        <v>84</v>
      </c>
      <c r="B112" s="63"/>
      <c r="C112" s="56"/>
      <c r="D112" s="56"/>
      <c r="E112" s="56"/>
      <c r="F112" s="56"/>
      <c r="G112" s="56"/>
      <c r="H112" s="56"/>
      <c r="I112" s="107" t="str">
        <f ca="1">IF(AND(INDIRECT("H112")&gt;=INDIRECT("F112"),AA112=0,AB112=0,AC112=0,AF112=0),"Yes",IF(AND(INDIRECT("H112")&lt;INDIRECT("F112"),AA112=0,AB112=0,AC112=0,AF112=0),"No","N/A"))</f>
        <v>N/A</v>
      </c>
      <c r="J112" s="176" t="str">
        <f t="shared" ca="1" si="10"/>
        <v>No Error</v>
      </c>
      <c r="K112" s="176"/>
      <c r="L112" s="176"/>
      <c r="R112" s="5"/>
      <c r="AA112" s="61">
        <f ca="1">COUNTBLANK(INDIRECT("C112"))</f>
        <v>1</v>
      </c>
      <c r="AB112" s="61">
        <f ca="1">COUNTBLANK(INDIRECT("D112"))</f>
        <v>1</v>
      </c>
      <c r="AC112" s="61">
        <f ca="1">COUNTBLANK(INDIRECT("E112"))</f>
        <v>1</v>
      </c>
      <c r="AD112" s="61">
        <f ca="1">COUNTBLANK(INDIRECT("F112"))</f>
        <v>1</v>
      </c>
      <c r="AE112" s="61">
        <f ca="1">COUNTBLANK(INDIRECT("G112"))</f>
        <v>1</v>
      </c>
      <c r="AF112" s="61">
        <f ca="1">COUNTBLANK(INDIRECT("H112"))</f>
        <v>1</v>
      </c>
      <c r="AG112" s="61">
        <f ca="1">COUNTBLANK(INDIRECT("B112"))</f>
        <v>1</v>
      </c>
    </row>
    <row r="113" spans="1:33" x14ac:dyDescent="0.25">
      <c r="A113" s="2">
        <v>85</v>
      </c>
      <c r="B113" s="63"/>
      <c r="C113" s="56"/>
      <c r="D113" s="56"/>
      <c r="E113" s="56"/>
      <c r="F113" s="56"/>
      <c r="G113" s="56"/>
      <c r="H113" s="56"/>
      <c r="I113" s="107" t="str">
        <f ca="1">IF(AND(INDIRECT("H113")&gt;=INDIRECT("F113"),AA113=0,AB113=0,AC113=0,AF113=0),"Yes",IF(AND(INDIRECT("H113")&lt;INDIRECT("F113"),AA113=0,AB113=0,AC113=0,AF113=0),"No","N/A"))</f>
        <v>N/A</v>
      </c>
      <c r="J113" s="176" t="str">
        <f t="shared" ca="1" si="10"/>
        <v>No Error</v>
      </c>
      <c r="K113" s="176"/>
      <c r="L113" s="176"/>
      <c r="R113" s="5"/>
      <c r="AA113" s="61">
        <f ca="1">COUNTBLANK(INDIRECT("C113"))</f>
        <v>1</v>
      </c>
      <c r="AB113" s="61">
        <f ca="1">COUNTBLANK(INDIRECT("D113"))</f>
        <v>1</v>
      </c>
      <c r="AC113" s="61">
        <f ca="1">COUNTBLANK(INDIRECT("E113"))</f>
        <v>1</v>
      </c>
      <c r="AD113" s="61">
        <f ca="1">COUNTBLANK(INDIRECT("F113"))</f>
        <v>1</v>
      </c>
      <c r="AE113" s="61">
        <f ca="1">COUNTBLANK(INDIRECT("G113"))</f>
        <v>1</v>
      </c>
      <c r="AF113" s="61">
        <f ca="1">COUNTBLANK(INDIRECT("H113"))</f>
        <v>1</v>
      </c>
      <c r="AG113" s="61">
        <f ca="1">COUNTBLANK(INDIRECT("B113"))</f>
        <v>1</v>
      </c>
    </row>
    <row r="114" spans="1:33" x14ac:dyDescent="0.25">
      <c r="A114" s="2">
        <v>86</v>
      </c>
      <c r="B114" s="63"/>
      <c r="C114" s="56"/>
      <c r="D114" s="56"/>
      <c r="E114" s="56"/>
      <c r="F114" s="56"/>
      <c r="G114" s="56"/>
      <c r="H114" s="56"/>
      <c r="I114" s="107" t="str">
        <f ca="1">IF(AND(INDIRECT("H114")&gt;=INDIRECT("F114"),AA114=0,AB114=0,AC114=0,AF114=0),"Yes",IF(AND(INDIRECT("H114")&lt;INDIRECT("F114"),AA114=0,AB114=0,AC114=0,AF114=0),"No","N/A"))</f>
        <v>N/A</v>
      </c>
      <c r="J114" s="176" t="str">
        <f t="shared" ca="1" si="10"/>
        <v>No Error</v>
      </c>
      <c r="K114" s="176"/>
      <c r="L114" s="176"/>
      <c r="R114" s="5"/>
      <c r="AA114" s="61">
        <f ca="1">COUNTBLANK(INDIRECT("C114"))</f>
        <v>1</v>
      </c>
      <c r="AB114" s="61">
        <f ca="1">COUNTBLANK(INDIRECT("D114"))</f>
        <v>1</v>
      </c>
      <c r="AC114" s="61">
        <f ca="1">COUNTBLANK(INDIRECT("E114"))</f>
        <v>1</v>
      </c>
      <c r="AD114" s="61">
        <f ca="1">COUNTBLANK(INDIRECT("F114"))</f>
        <v>1</v>
      </c>
      <c r="AE114" s="61">
        <f ca="1">COUNTBLANK(INDIRECT("G114"))</f>
        <v>1</v>
      </c>
      <c r="AF114" s="61">
        <f ca="1">COUNTBLANK(INDIRECT("H114"))</f>
        <v>1</v>
      </c>
      <c r="AG114" s="61">
        <f ca="1">COUNTBLANK(INDIRECT("B114"))</f>
        <v>1</v>
      </c>
    </row>
    <row r="115" spans="1:33" x14ac:dyDescent="0.25">
      <c r="A115" s="2">
        <v>87</v>
      </c>
      <c r="B115" s="63"/>
      <c r="C115" s="56"/>
      <c r="D115" s="56"/>
      <c r="E115" s="56"/>
      <c r="F115" s="56"/>
      <c r="G115" s="56"/>
      <c r="H115" s="56"/>
      <c r="I115" s="107" t="str">
        <f ca="1">IF(AND(INDIRECT("H115")&gt;=INDIRECT("F115"),AA115=0,AB115=0,AC115=0,AF115=0),"Yes",IF(AND(INDIRECT("H115")&lt;INDIRECT("F115"),AA115=0,AB115=0,AC115=0,AF115=0),"No","N/A"))</f>
        <v>N/A</v>
      </c>
      <c r="J115" s="176" t="str">
        <f t="shared" ca="1" si="10"/>
        <v>No Error</v>
      </c>
      <c r="K115" s="176"/>
      <c r="L115" s="176"/>
      <c r="R115" s="5"/>
      <c r="AA115" s="61">
        <f ca="1">COUNTBLANK(INDIRECT("C115"))</f>
        <v>1</v>
      </c>
      <c r="AB115" s="61">
        <f ca="1">COUNTBLANK(INDIRECT("D115"))</f>
        <v>1</v>
      </c>
      <c r="AC115" s="61">
        <f ca="1">COUNTBLANK(INDIRECT("E115"))</f>
        <v>1</v>
      </c>
      <c r="AD115" s="61">
        <f ca="1">COUNTBLANK(INDIRECT("F115"))</f>
        <v>1</v>
      </c>
      <c r="AE115" s="61">
        <f ca="1">COUNTBLANK(INDIRECT("G115"))</f>
        <v>1</v>
      </c>
      <c r="AF115" s="61">
        <f ca="1">COUNTBLANK(INDIRECT("H115"))</f>
        <v>1</v>
      </c>
      <c r="AG115" s="61">
        <f ca="1">COUNTBLANK(INDIRECT("B115"))</f>
        <v>1</v>
      </c>
    </row>
    <row r="116" spans="1:33" x14ac:dyDescent="0.25">
      <c r="A116" s="2">
        <v>88</v>
      </c>
      <c r="B116" s="63"/>
      <c r="C116" s="56"/>
      <c r="D116" s="56"/>
      <c r="E116" s="56"/>
      <c r="F116" s="56"/>
      <c r="G116" s="56"/>
      <c r="H116" s="56"/>
      <c r="I116" s="107" t="str">
        <f ca="1">IF(AND(INDIRECT("H116")&gt;=INDIRECT("F116"),AA116=0,AB116=0,AC116=0,AF116=0),"Yes",IF(AND(INDIRECT("H116")&lt;INDIRECT("F116"),AA116=0,AB116=0,AC116=0,AF116=0),"No","N/A"))</f>
        <v>N/A</v>
      </c>
      <c r="J116" s="176" t="str">
        <f t="shared" ca="1" si="10"/>
        <v>No Error</v>
      </c>
      <c r="K116" s="176"/>
      <c r="L116" s="176"/>
      <c r="R116" s="5"/>
      <c r="AA116" s="61">
        <f ca="1">COUNTBLANK(INDIRECT("C116"))</f>
        <v>1</v>
      </c>
      <c r="AB116" s="61">
        <f ca="1">COUNTBLANK(INDIRECT("D116"))</f>
        <v>1</v>
      </c>
      <c r="AC116" s="61">
        <f ca="1">COUNTBLANK(INDIRECT("E116"))</f>
        <v>1</v>
      </c>
      <c r="AD116" s="61">
        <f ca="1">COUNTBLANK(INDIRECT("F116"))</f>
        <v>1</v>
      </c>
      <c r="AE116" s="61">
        <f ca="1">COUNTBLANK(INDIRECT("G116"))</f>
        <v>1</v>
      </c>
      <c r="AF116" s="61">
        <f ca="1">COUNTBLANK(INDIRECT("H116"))</f>
        <v>1</v>
      </c>
      <c r="AG116" s="61">
        <f ca="1">COUNTBLANK(INDIRECT("B116"))</f>
        <v>1</v>
      </c>
    </row>
    <row r="117" spans="1:33" x14ac:dyDescent="0.25">
      <c r="A117" s="2">
        <v>89</v>
      </c>
      <c r="B117" s="63"/>
      <c r="C117" s="56"/>
      <c r="D117" s="56"/>
      <c r="E117" s="56"/>
      <c r="F117" s="56"/>
      <c r="G117" s="56"/>
      <c r="H117" s="56"/>
      <c r="I117" s="107" t="str">
        <f ca="1">IF(AND(INDIRECT("H117")&gt;=INDIRECT("F117"),AA117=0,AB117=0,AC117=0,AF117=0),"Yes",IF(AND(INDIRECT("H117")&lt;INDIRECT("F117"),AA117=0,AB117=0,AC117=0,AF117=0),"No","N/A"))</f>
        <v>N/A</v>
      </c>
      <c r="J117" s="176" t="str">
        <f t="shared" ca="1" si="10"/>
        <v>No Error</v>
      </c>
      <c r="K117" s="176"/>
      <c r="L117" s="176"/>
      <c r="R117" s="5"/>
      <c r="AA117" s="61">
        <f ca="1">COUNTBLANK(INDIRECT("C117"))</f>
        <v>1</v>
      </c>
      <c r="AB117" s="61">
        <f ca="1">COUNTBLANK(INDIRECT("D117"))</f>
        <v>1</v>
      </c>
      <c r="AC117" s="61">
        <f ca="1">COUNTBLANK(INDIRECT("E117"))</f>
        <v>1</v>
      </c>
      <c r="AD117" s="61">
        <f ca="1">COUNTBLANK(INDIRECT("F117"))</f>
        <v>1</v>
      </c>
      <c r="AE117" s="61">
        <f ca="1">COUNTBLANK(INDIRECT("G117"))</f>
        <v>1</v>
      </c>
      <c r="AF117" s="61">
        <f ca="1">COUNTBLANK(INDIRECT("H117"))</f>
        <v>1</v>
      </c>
      <c r="AG117" s="61">
        <f ca="1">COUNTBLANK(INDIRECT("B117"))</f>
        <v>1</v>
      </c>
    </row>
    <row r="118" spans="1:33" x14ac:dyDescent="0.25">
      <c r="A118" s="2">
        <v>90</v>
      </c>
      <c r="B118" s="63"/>
      <c r="C118" s="56"/>
      <c r="D118" s="56"/>
      <c r="E118" s="56"/>
      <c r="F118" s="56"/>
      <c r="G118" s="56"/>
      <c r="H118" s="56"/>
      <c r="I118" s="107" t="str">
        <f ca="1">IF(AND(INDIRECT("H118")&gt;=INDIRECT("F118"),AA118=0,AB118=0,AC118=0,AF118=0),"Yes",IF(AND(INDIRECT("H118")&lt;INDIRECT("F118"),AA118=0,AB118=0,AC118=0,AF118=0),"No","N/A"))</f>
        <v>N/A</v>
      </c>
      <c r="J118" s="176" t="str">
        <f t="shared" ca="1" si="10"/>
        <v>No Error</v>
      </c>
      <c r="K118" s="176"/>
      <c r="L118" s="176"/>
      <c r="R118" s="5"/>
      <c r="AA118" s="61">
        <f ca="1">COUNTBLANK(INDIRECT("C118"))</f>
        <v>1</v>
      </c>
      <c r="AB118" s="61">
        <f ca="1">COUNTBLANK(INDIRECT("D118"))</f>
        <v>1</v>
      </c>
      <c r="AC118" s="61">
        <f ca="1">COUNTBLANK(INDIRECT("E118"))</f>
        <v>1</v>
      </c>
      <c r="AD118" s="61">
        <f ca="1">COUNTBLANK(INDIRECT("F118"))</f>
        <v>1</v>
      </c>
      <c r="AE118" s="61">
        <f ca="1">COUNTBLANK(INDIRECT("G118"))</f>
        <v>1</v>
      </c>
      <c r="AF118" s="61">
        <f ca="1">COUNTBLANK(INDIRECT("H118"))</f>
        <v>1</v>
      </c>
      <c r="AG118" s="61">
        <f ca="1">COUNTBLANK(INDIRECT("B118"))</f>
        <v>1</v>
      </c>
    </row>
    <row r="119" spans="1:33" x14ac:dyDescent="0.25">
      <c r="A119" s="2">
        <v>91</v>
      </c>
      <c r="B119" s="63"/>
      <c r="C119" s="56"/>
      <c r="D119" s="56"/>
      <c r="E119" s="56"/>
      <c r="F119" s="56"/>
      <c r="G119" s="56"/>
      <c r="H119" s="56"/>
      <c r="I119" s="107" t="str">
        <f ca="1">IF(AND(INDIRECT("H119")&gt;=INDIRECT("F119"),AA119=0,AB119=0,AC119=0,AF119=0),"Yes",IF(AND(INDIRECT("H119")&lt;INDIRECT("F119"),AA119=0,AB119=0,AC119=0,AF119=0),"No","N/A"))</f>
        <v>N/A</v>
      </c>
      <c r="J119" s="176" t="str">
        <f t="shared" ca="1" si="10"/>
        <v>No Error</v>
      </c>
      <c r="K119" s="176"/>
      <c r="L119" s="176"/>
      <c r="R119" s="5"/>
      <c r="AA119" s="61">
        <f ca="1">COUNTBLANK(INDIRECT("C119"))</f>
        <v>1</v>
      </c>
      <c r="AB119" s="61">
        <f ca="1">COUNTBLANK(INDIRECT("D119"))</f>
        <v>1</v>
      </c>
      <c r="AC119" s="61">
        <f ca="1">COUNTBLANK(INDIRECT("E119"))</f>
        <v>1</v>
      </c>
      <c r="AD119" s="61">
        <f ca="1">COUNTBLANK(INDIRECT("F119"))</f>
        <v>1</v>
      </c>
      <c r="AE119" s="61">
        <f ca="1">COUNTBLANK(INDIRECT("G119"))</f>
        <v>1</v>
      </c>
      <c r="AF119" s="61">
        <f ca="1">COUNTBLANK(INDIRECT("H119"))</f>
        <v>1</v>
      </c>
      <c r="AG119" s="61">
        <f ca="1">COUNTBLANK(INDIRECT("B119"))</f>
        <v>1</v>
      </c>
    </row>
    <row r="120" spans="1:33" x14ac:dyDescent="0.25">
      <c r="A120" s="2">
        <v>92</v>
      </c>
      <c r="B120" s="63"/>
      <c r="C120" s="56"/>
      <c r="D120" s="56"/>
      <c r="E120" s="56"/>
      <c r="F120" s="56"/>
      <c r="G120" s="56"/>
      <c r="H120" s="56"/>
      <c r="I120" s="107" t="str">
        <f ca="1">IF(AND(INDIRECT("H120")&gt;=INDIRECT("F120"),AA120=0,AB120=0,AC120=0,AF120=0),"Yes",IF(AND(INDIRECT("H120")&lt;INDIRECT("F120"),AA120=0,AB120=0,AC120=0,AF120=0),"No","N/A"))</f>
        <v>N/A</v>
      </c>
      <c r="J120" s="176" t="str">
        <f t="shared" ca="1" si="10"/>
        <v>No Error</v>
      </c>
      <c r="K120" s="176"/>
      <c r="L120" s="176"/>
      <c r="R120" s="5"/>
      <c r="AA120" s="61">
        <f ca="1">COUNTBLANK(INDIRECT("C120"))</f>
        <v>1</v>
      </c>
      <c r="AB120" s="61">
        <f ca="1">COUNTBLANK(INDIRECT("D120"))</f>
        <v>1</v>
      </c>
      <c r="AC120" s="61">
        <f ca="1">COUNTBLANK(INDIRECT("E120"))</f>
        <v>1</v>
      </c>
      <c r="AD120" s="61">
        <f ca="1">COUNTBLANK(INDIRECT("F120"))</f>
        <v>1</v>
      </c>
      <c r="AE120" s="61">
        <f ca="1">COUNTBLANK(INDIRECT("G120"))</f>
        <v>1</v>
      </c>
      <c r="AF120" s="61">
        <f ca="1">COUNTBLANK(INDIRECT("H120"))</f>
        <v>1</v>
      </c>
      <c r="AG120" s="61">
        <f ca="1">COUNTBLANK(INDIRECT("B120"))</f>
        <v>1</v>
      </c>
    </row>
    <row r="121" spans="1:33" x14ac:dyDescent="0.25">
      <c r="A121" s="2">
        <v>93</v>
      </c>
      <c r="B121" s="63"/>
      <c r="C121" s="56"/>
      <c r="D121" s="56"/>
      <c r="E121" s="56"/>
      <c r="F121" s="56"/>
      <c r="G121" s="56"/>
      <c r="H121" s="56"/>
      <c r="I121" s="107" t="str">
        <f ca="1">IF(AND(INDIRECT("H121")&gt;=INDIRECT("F121"),AA121=0,AB121=0,AC121=0,AF121=0),"Yes",IF(AND(INDIRECT("H121")&lt;INDIRECT("F121"),AA121=0,AB121=0,AC121=0,AF121=0),"No","N/A"))</f>
        <v>N/A</v>
      </c>
      <c r="J121" s="176" t="str">
        <f t="shared" ca="1" si="10"/>
        <v>No Error</v>
      </c>
      <c r="K121" s="176"/>
      <c r="L121" s="176"/>
      <c r="R121" s="5"/>
      <c r="AA121" s="61">
        <f ca="1">COUNTBLANK(INDIRECT("C121"))</f>
        <v>1</v>
      </c>
      <c r="AB121" s="61">
        <f ca="1">COUNTBLANK(INDIRECT("D121"))</f>
        <v>1</v>
      </c>
      <c r="AC121" s="61">
        <f ca="1">COUNTBLANK(INDIRECT("E121"))</f>
        <v>1</v>
      </c>
      <c r="AD121" s="61">
        <f ca="1">COUNTBLANK(INDIRECT("F121"))</f>
        <v>1</v>
      </c>
      <c r="AE121" s="61">
        <f ca="1">COUNTBLANK(INDIRECT("G121"))</f>
        <v>1</v>
      </c>
      <c r="AF121" s="61">
        <f ca="1">COUNTBLANK(INDIRECT("H121"))</f>
        <v>1</v>
      </c>
      <c r="AG121" s="61">
        <f ca="1">COUNTBLANK(INDIRECT("B121"))</f>
        <v>1</v>
      </c>
    </row>
    <row r="122" spans="1:33" x14ac:dyDescent="0.25">
      <c r="A122" s="2">
        <v>94</v>
      </c>
      <c r="B122" s="63"/>
      <c r="C122" s="56"/>
      <c r="D122" s="56"/>
      <c r="E122" s="56"/>
      <c r="F122" s="56"/>
      <c r="G122" s="56"/>
      <c r="H122" s="56"/>
      <c r="I122" s="107" t="str">
        <f ca="1">IF(AND(INDIRECT("H122")&gt;=INDIRECT("F122"),AA122=0,AB122=0,AC122=0,AF122=0),"Yes",IF(AND(INDIRECT("H122")&lt;INDIRECT("F122"),AA122=0,AB122=0,AC122=0,AF122=0),"No","N/A"))</f>
        <v>N/A</v>
      </c>
      <c r="J122" s="176" t="str">
        <f t="shared" ca="1" si="10"/>
        <v>No Error</v>
      </c>
      <c r="K122" s="176"/>
      <c r="L122" s="176"/>
      <c r="R122" s="5"/>
      <c r="AA122" s="61">
        <f ca="1">COUNTBLANK(INDIRECT("C122"))</f>
        <v>1</v>
      </c>
      <c r="AB122" s="61">
        <f ca="1">COUNTBLANK(INDIRECT("D122"))</f>
        <v>1</v>
      </c>
      <c r="AC122" s="61">
        <f ca="1">COUNTBLANK(INDIRECT("E122"))</f>
        <v>1</v>
      </c>
      <c r="AD122" s="61">
        <f ca="1">COUNTBLANK(INDIRECT("F122"))</f>
        <v>1</v>
      </c>
      <c r="AE122" s="61">
        <f ca="1">COUNTBLANK(INDIRECT("G122"))</f>
        <v>1</v>
      </c>
      <c r="AF122" s="61">
        <f ca="1">COUNTBLANK(INDIRECT("H122"))</f>
        <v>1</v>
      </c>
      <c r="AG122" s="61">
        <f ca="1">COUNTBLANK(INDIRECT("B122"))</f>
        <v>1</v>
      </c>
    </row>
    <row r="123" spans="1:33" x14ac:dyDescent="0.25">
      <c r="A123" s="2">
        <v>95</v>
      </c>
      <c r="B123" s="63"/>
      <c r="C123" s="56"/>
      <c r="D123" s="56"/>
      <c r="E123" s="56"/>
      <c r="F123" s="56"/>
      <c r="G123" s="56"/>
      <c r="H123" s="56"/>
      <c r="I123" s="107" t="str">
        <f ca="1">IF(AND(INDIRECT("H123")&gt;=INDIRECT("F123"),AA123=0,AB123=0,AC123=0,AF123=0),"Yes",IF(AND(INDIRECT("H123")&lt;INDIRECT("F123"),AA123=0,AB123=0,AC123=0,AF123=0),"No","N/A"))</f>
        <v>N/A</v>
      </c>
      <c r="J123" s="176" t="str">
        <f t="shared" ca="1" si="10"/>
        <v>No Error</v>
      </c>
      <c r="K123" s="176"/>
      <c r="L123" s="176"/>
      <c r="R123" s="5"/>
      <c r="AA123" s="61">
        <f ca="1">COUNTBLANK(INDIRECT("C123"))</f>
        <v>1</v>
      </c>
      <c r="AB123" s="61">
        <f ca="1">COUNTBLANK(INDIRECT("D123"))</f>
        <v>1</v>
      </c>
      <c r="AC123" s="61">
        <f ca="1">COUNTBLANK(INDIRECT("E123"))</f>
        <v>1</v>
      </c>
      <c r="AD123" s="61">
        <f ca="1">COUNTBLANK(INDIRECT("F123"))</f>
        <v>1</v>
      </c>
      <c r="AE123" s="61">
        <f ca="1">COUNTBLANK(INDIRECT("G123"))</f>
        <v>1</v>
      </c>
      <c r="AF123" s="61">
        <f ca="1">COUNTBLANK(INDIRECT("H123"))</f>
        <v>1</v>
      </c>
      <c r="AG123" s="61">
        <f ca="1">COUNTBLANK(INDIRECT("B123"))</f>
        <v>1</v>
      </c>
    </row>
    <row r="124" spans="1:33" x14ac:dyDescent="0.25">
      <c r="A124" s="2">
        <v>96</v>
      </c>
      <c r="B124" s="63"/>
      <c r="C124" s="56"/>
      <c r="D124" s="56"/>
      <c r="E124" s="56"/>
      <c r="F124" s="56"/>
      <c r="G124" s="56"/>
      <c r="H124" s="56"/>
      <c r="I124" s="107" t="str">
        <f ca="1">IF(AND(INDIRECT("H124")&gt;=INDIRECT("F124"),AA124=0,AB124=0,AC124=0,AF124=0),"Yes",IF(AND(INDIRECT("H124")&lt;INDIRECT("F124"),AA124=0,AB124=0,AC124=0,AF124=0),"No","N/A"))</f>
        <v>N/A</v>
      </c>
      <c r="J124" s="176" t="str">
        <f t="shared" ca="1" si="10"/>
        <v>No Error</v>
      </c>
      <c r="K124" s="176"/>
      <c r="L124" s="176"/>
      <c r="R124" s="5"/>
      <c r="AA124" s="61">
        <f ca="1">COUNTBLANK(INDIRECT("C124"))</f>
        <v>1</v>
      </c>
      <c r="AB124" s="61">
        <f ca="1">COUNTBLANK(INDIRECT("D124"))</f>
        <v>1</v>
      </c>
      <c r="AC124" s="61">
        <f ca="1">COUNTBLANK(INDIRECT("E124"))</f>
        <v>1</v>
      </c>
      <c r="AD124" s="61">
        <f ca="1">COUNTBLANK(INDIRECT("F124"))</f>
        <v>1</v>
      </c>
      <c r="AE124" s="61">
        <f ca="1">COUNTBLANK(INDIRECT("G124"))</f>
        <v>1</v>
      </c>
      <c r="AF124" s="61">
        <f ca="1">COUNTBLANK(INDIRECT("H124"))</f>
        <v>1</v>
      </c>
      <c r="AG124" s="61">
        <f ca="1">COUNTBLANK(INDIRECT("B124"))</f>
        <v>1</v>
      </c>
    </row>
    <row r="125" spans="1:33" x14ac:dyDescent="0.25">
      <c r="A125" s="2">
        <v>97</v>
      </c>
      <c r="B125" s="63"/>
      <c r="C125" s="56"/>
      <c r="D125" s="56"/>
      <c r="E125" s="56"/>
      <c r="F125" s="56"/>
      <c r="G125" s="56"/>
      <c r="H125" s="56"/>
      <c r="I125" s="107" t="str">
        <f ca="1">IF(AND(INDIRECT("H125")&gt;=INDIRECT("F125"),AA125=0,AB125=0,AC125=0,AF125=0),"Yes",IF(AND(INDIRECT("H125")&lt;INDIRECT("F125"),AA125=0,AB125=0,AC125=0,AF125=0),"No","N/A"))</f>
        <v>N/A</v>
      </c>
      <c r="J125" s="176" t="str">
        <f t="shared" ca="1" si="10"/>
        <v>No Error</v>
      </c>
      <c r="K125" s="176"/>
      <c r="L125" s="176"/>
      <c r="R125" s="5"/>
      <c r="AA125" s="61">
        <f ca="1">COUNTBLANK(INDIRECT("C125"))</f>
        <v>1</v>
      </c>
      <c r="AB125" s="61">
        <f ca="1">COUNTBLANK(INDIRECT("D125"))</f>
        <v>1</v>
      </c>
      <c r="AC125" s="61">
        <f ca="1">COUNTBLANK(INDIRECT("E125"))</f>
        <v>1</v>
      </c>
      <c r="AD125" s="61">
        <f ca="1">COUNTBLANK(INDIRECT("F125"))</f>
        <v>1</v>
      </c>
      <c r="AE125" s="61">
        <f ca="1">COUNTBLANK(INDIRECT("G125"))</f>
        <v>1</v>
      </c>
      <c r="AF125" s="61">
        <f ca="1">COUNTBLANK(INDIRECT("H125"))</f>
        <v>1</v>
      </c>
      <c r="AG125" s="61">
        <f ca="1">COUNTBLANK(INDIRECT("B125"))</f>
        <v>1</v>
      </c>
    </row>
    <row r="126" spans="1:33" x14ac:dyDescent="0.25">
      <c r="A126" s="2">
        <v>98</v>
      </c>
      <c r="B126" s="63"/>
      <c r="C126" s="56"/>
      <c r="D126" s="56"/>
      <c r="E126" s="56"/>
      <c r="F126" s="56"/>
      <c r="G126" s="56"/>
      <c r="H126" s="56"/>
      <c r="I126" s="107" t="str">
        <f ca="1">IF(AND(INDIRECT("H126")&gt;=INDIRECT("F126"),AA126=0,AB126=0,AC126=0,AF126=0),"Yes",IF(AND(INDIRECT("H126")&lt;INDIRECT("F126"),AA126=0,AB126=0,AC126=0,AF126=0),"No","N/A"))</f>
        <v>N/A</v>
      </c>
      <c r="J126" s="176" t="str">
        <f t="shared" ca="1" si="10"/>
        <v>No Error</v>
      </c>
      <c r="K126" s="176"/>
      <c r="L126" s="176"/>
      <c r="R126" s="5"/>
      <c r="AA126" s="61">
        <f ca="1">COUNTBLANK(INDIRECT("C126"))</f>
        <v>1</v>
      </c>
      <c r="AB126" s="61">
        <f ca="1">COUNTBLANK(INDIRECT("D126"))</f>
        <v>1</v>
      </c>
      <c r="AC126" s="61">
        <f ca="1">COUNTBLANK(INDIRECT("E126"))</f>
        <v>1</v>
      </c>
      <c r="AD126" s="61">
        <f ca="1">COUNTBLANK(INDIRECT("F126"))</f>
        <v>1</v>
      </c>
      <c r="AE126" s="61">
        <f ca="1">COUNTBLANK(INDIRECT("G126"))</f>
        <v>1</v>
      </c>
      <c r="AF126" s="61">
        <f ca="1">COUNTBLANK(INDIRECT("H126"))</f>
        <v>1</v>
      </c>
      <c r="AG126" s="61">
        <f ca="1">COUNTBLANK(INDIRECT("B126"))</f>
        <v>1</v>
      </c>
    </row>
    <row r="127" spans="1:33" x14ac:dyDescent="0.25">
      <c r="A127" s="2">
        <v>99</v>
      </c>
      <c r="B127" s="63"/>
      <c r="C127" s="56"/>
      <c r="D127" s="56"/>
      <c r="E127" s="56"/>
      <c r="F127" s="56"/>
      <c r="G127" s="56"/>
      <c r="H127" s="56"/>
      <c r="I127" s="107" t="str">
        <f ca="1">IF(AND(INDIRECT("H127")&gt;=INDIRECT("F127"),AA127=0,AB127=0,AC127=0,AF127=0),"Yes",IF(AND(INDIRECT("H127")&lt;INDIRECT("F127"),AA127=0,AB127=0,AC127=0,AF127=0),"No","N/A"))</f>
        <v>N/A</v>
      </c>
      <c r="J127" s="176" t="str">
        <f t="shared" ca="1" si="10"/>
        <v>No Error</v>
      </c>
      <c r="K127" s="176"/>
      <c r="L127" s="176"/>
      <c r="R127" s="5"/>
      <c r="AA127" s="61">
        <f ca="1">COUNTBLANK(INDIRECT("C127"))</f>
        <v>1</v>
      </c>
      <c r="AB127" s="61">
        <f ca="1">COUNTBLANK(INDIRECT("D127"))</f>
        <v>1</v>
      </c>
      <c r="AC127" s="61">
        <f ca="1">COUNTBLANK(INDIRECT("E127"))</f>
        <v>1</v>
      </c>
      <c r="AD127" s="61">
        <f ca="1">COUNTBLANK(INDIRECT("F127"))</f>
        <v>1</v>
      </c>
      <c r="AE127" s="61">
        <f ca="1">COUNTBLANK(INDIRECT("G127"))</f>
        <v>1</v>
      </c>
      <c r="AF127" s="61">
        <f ca="1">COUNTBLANK(INDIRECT("H127"))</f>
        <v>1</v>
      </c>
      <c r="AG127" s="61">
        <f ca="1">COUNTBLANK(INDIRECT("B127"))</f>
        <v>1</v>
      </c>
    </row>
    <row r="128" spans="1:33" x14ac:dyDescent="0.25">
      <c r="A128" s="2">
        <v>100</v>
      </c>
      <c r="B128" s="63"/>
      <c r="C128" s="56"/>
      <c r="D128" s="56"/>
      <c r="E128" s="56"/>
      <c r="F128" s="56"/>
      <c r="G128" s="56"/>
      <c r="H128" s="56"/>
      <c r="I128" s="107" t="str">
        <f ca="1">IF(AND(INDIRECT("H128")&gt;=INDIRECT("F128"),AA128=0,AB128=0,AC128=0,AF128=0),"Yes",IF(AND(INDIRECT("H128")&lt;INDIRECT("F128"),AA128=0,AB128=0,AC128=0,AF128=0),"No","N/A"))</f>
        <v>N/A</v>
      </c>
      <c r="J128" s="176" t="str">
        <f t="shared" ca="1" si="10"/>
        <v>No Error</v>
      </c>
      <c r="K128" s="176"/>
      <c r="L128" s="176"/>
      <c r="R128" s="5"/>
      <c r="AA128" s="61">
        <f ca="1">COUNTBLANK(INDIRECT("C128"))</f>
        <v>1</v>
      </c>
      <c r="AB128" s="61">
        <f ca="1">COUNTBLANK(INDIRECT("D128"))</f>
        <v>1</v>
      </c>
      <c r="AC128" s="61">
        <f ca="1">COUNTBLANK(INDIRECT("E128"))</f>
        <v>1</v>
      </c>
      <c r="AD128" s="61">
        <f ca="1">COUNTBLANK(INDIRECT("F128"))</f>
        <v>1</v>
      </c>
      <c r="AE128" s="61">
        <f ca="1">COUNTBLANK(INDIRECT("G128"))</f>
        <v>1</v>
      </c>
      <c r="AF128" s="61">
        <f ca="1">COUNTBLANK(INDIRECT("H128"))</f>
        <v>1</v>
      </c>
      <c r="AG128" s="61">
        <f ca="1">COUNTBLANK(INDIRECT("B128"))</f>
        <v>1</v>
      </c>
    </row>
    <row r="129" spans="1:33" x14ac:dyDescent="0.25">
      <c r="A129" s="2">
        <v>101</v>
      </c>
      <c r="B129" s="63"/>
      <c r="C129" s="56"/>
      <c r="D129" s="56"/>
      <c r="E129" s="56"/>
      <c r="F129" s="56"/>
      <c r="G129" s="56"/>
      <c r="H129" s="56"/>
      <c r="I129" s="107" t="str">
        <f ca="1">IF(AND(INDIRECT("H129")&gt;=INDIRECT("F129"),AA129=0,AB129=0,AC129=0,AF129=0),"Yes",IF(AND(INDIRECT("H129")&lt;INDIRECT("F129"),AA129=0,AB129=0,AC129=0,AF129=0),"No","N/A"))</f>
        <v>N/A</v>
      </c>
      <c r="J129" s="176" t="str">
        <f t="shared" ca="1" si="10"/>
        <v>No Error</v>
      </c>
      <c r="K129" s="176"/>
      <c r="L129" s="176"/>
      <c r="R129" s="5"/>
      <c r="AA129" s="61">
        <f ca="1">COUNTBLANK(INDIRECT("C129"))</f>
        <v>1</v>
      </c>
      <c r="AB129" s="61">
        <f ca="1">COUNTBLANK(INDIRECT("D129"))</f>
        <v>1</v>
      </c>
      <c r="AC129" s="61">
        <f ca="1">COUNTBLANK(INDIRECT("E129"))</f>
        <v>1</v>
      </c>
      <c r="AD129" s="61">
        <f ca="1">COUNTBLANK(INDIRECT("F129"))</f>
        <v>1</v>
      </c>
      <c r="AE129" s="61">
        <f ca="1">COUNTBLANK(INDIRECT("G129"))</f>
        <v>1</v>
      </c>
      <c r="AF129" s="61">
        <f ca="1">COUNTBLANK(INDIRECT("H129"))</f>
        <v>1</v>
      </c>
      <c r="AG129" s="61">
        <f ca="1">COUNTBLANK(INDIRECT("B129"))</f>
        <v>1</v>
      </c>
    </row>
    <row r="130" spans="1:33" x14ac:dyDescent="0.25">
      <c r="A130" s="2">
        <v>102</v>
      </c>
      <c r="B130" s="63"/>
      <c r="C130" s="56"/>
      <c r="D130" s="56"/>
      <c r="E130" s="56"/>
      <c r="F130" s="56"/>
      <c r="G130" s="56"/>
      <c r="H130" s="56"/>
      <c r="I130" s="107" t="str">
        <f ca="1">IF(AND(INDIRECT("H130")&gt;=INDIRECT("F130"),AA130=0,AB130=0,AC130=0,AF130=0),"Yes",IF(AND(INDIRECT("H130")&lt;INDIRECT("F130"),AA130=0,AB130=0,AC130=0,AF130=0),"No","N/A"))</f>
        <v>N/A</v>
      </c>
      <c r="J130" s="176" t="str">
        <f t="shared" ca="1" si="10"/>
        <v>No Error</v>
      </c>
      <c r="K130" s="176"/>
      <c r="L130" s="176"/>
      <c r="R130" s="5"/>
      <c r="AA130" s="61">
        <f ca="1">COUNTBLANK(INDIRECT("C130"))</f>
        <v>1</v>
      </c>
      <c r="AB130" s="61">
        <f ca="1">COUNTBLANK(INDIRECT("D130"))</f>
        <v>1</v>
      </c>
      <c r="AC130" s="61">
        <f ca="1">COUNTBLANK(INDIRECT("E130"))</f>
        <v>1</v>
      </c>
      <c r="AD130" s="61">
        <f ca="1">COUNTBLANK(INDIRECT("F130"))</f>
        <v>1</v>
      </c>
      <c r="AE130" s="61">
        <f ca="1">COUNTBLANK(INDIRECT("G130"))</f>
        <v>1</v>
      </c>
      <c r="AF130" s="61">
        <f ca="1">COUNTBLANK(INDIRECT("H130"))</f>
        <v>1</v>
      </c>
      <c r="AG130" s="61">
        <f ca="1">COUNTBLANK(INDIRECT("B130"))</f>
        <v>1</v>
      </c>
    </row>
    <row r="131" spans="1:33" x14ac:dyDescent="0.25">
      <c r="A131" s="2">
        <v>103</v>
      </c>
      <c r="B131" s="63"/>
      <c r="C131" s="56"/>
      <c r="D131" s="56"/>
      <c r="E131" s="56"/>
      <c r="F131" s="56"/>
      <c r="G131" s="56"/>
      <c r="H131" s="56"/>
      <c r="I131" s="107" t="str">
        <f ca="1">IF(AND(INDIRECT("H131")&gt;=INDIRECT("F131"),AA131=0,AB131=0,AC131=0,AF131=0),"Yes",IF(AND(INDIRECT("H131")&lt;INDIRECT("F131"),AA131=0,AB131=0,AC131=0,AF131=0),"No","N/A"))</f>
        <v>N/A</v>
      </c>
      <c r="J131" s="176" t="str">
        <f t="shared" ca="1" si="10"/>
        <v>No Error</v>
      </c>
      <c r="K131" s="176"/>
      <c r="L131" s="176"/>
      <c r="R131" s="5"/>
      <c r="AA131" s="61">
        <f ca="1">COUNTBLANK(INDIRECT("C131"))</f>
        <v>1</v>
      </c>
      <c r="AB131" s="61">
        <f ca="1">COUNTBLANK(INDIRECT("D131"))</f>
        <v>1</v>
      </c>
      <c r="AC131" s="61">
        <f ca="1">COUNTBLANK(INDIRECT("E131"))</f>
        <v>1</v>
      </c>
      <c r="AD131" s="61">
        <f ca="1">COUNTBLANK(INDIRECT("F131"))</f>
        <v>1</v>
      </c>
      <c r="AE131" s="61">
        <f ca="1">COUNTBLANK(INDIRECT("G131"))</f>
        <v>1</v>
      </c>
      <c r="AF131" s="61">
        <f ca="1">COUNTBLANK(INDIRECT("H131"))</f>
        <v>1</v>
      </c>
      <c r="AG131" s="61">
        <f ca="1">COUNTBLANK(INDIRECT("B131"))</f>
        <v>1</v>
      </c>
    </row>
    <row r="132" spans="1:33" x14ac:dyDescent="0.25">
      <c r="A132" s="2">
        <v>104</v>
      </c>
      <c r="B132" s="63"/>
      <c r="C132" s="56"/>
      <c r="D132" s="56"/>
      <c r="E132" s="56"/>
      <c r="F132" s="56"/>
      <c r="G132" s="56"/>
      <c r="H132" s="56"/>
      <c r="I132" s="107" t="str">
        <f ca="1">IF(AND(INDIRECT("H132")&gt;=INDIRECT("F132"),AA132=0,AB132=0,AC132=0,AF132=0),"Yes",IF(AND(INDIRECT("H132")&lt;INDIRECT("F132"),AA132=0,AB132=0,AC132=0,AF132=0),"No","N/A"))</f>
        <v>N/A</v>
      </c>
      <c r="J132" s="176" t="str">
        <f t="shared" ca="1" si="10"/>
        <v>No Error</v>
      </c>
      <c r="K132" s="176"/>
      <c r="L132" s="176"/>
      <c r="R132" s="5"/>
      <c r="AA132" s="61">
        <f ca="1">COUNTBLANK(INDIRECT("C132"))</f>
        <v>1</v>
      </c>
      <c r="AB132" s="61">
        <f ca="1">COUNTBLANK(INDIRECT("D132"))</f>
        <v>1</v>
      </c>
      <c r="AC132" s="61">
        <f ca="1">COUNTBLANK(INDIRECT("E132"))</f>
        <v>1</v>
      </c>
      <c r="AD132" s="61">
        <f ca="1">COUNTBLANK(INDIRECT("F132"))</f>
        <v>1</v>
      </c>
      <c r="AE132" s="61">
        <f ca="1">COUNTBLANK(INDIRECT("G132"))</f>
        <v>1</v>
      </c>
      <c r="AF132" s="61">
        <f ca="1">COUNTBLANK(INDIRECT("H132"))</f>
        <v>1</v>
      </c>
      <c r="AG132" s="61">
        <f ca="1">COUNTBLANK(INDIRECT("B132"))</f>
        <v>1</v>
      </c>
    </row>
    <row r="133" spans="1:33" x14ac:dyDescent="0.25">
      <c r="A133" s="2">
        <v>105</v>
      </c>
      <c r="B133" s="63"/>
      <c r="C133" s="56"/>
      <c r="D133" s="56"/>
      <c r="E133" s="56"/>
      <c r="F133" s="56"/>
      <c r="G133" s="56"/>
      <c r="H133" s="56"/>
      <c r="I133" s="107" t="str">
        <f ca="1">IF(AND(INDIRECT("H133")&gt;=INDIRECT("F133"),AA133=0,AB133=0,AC133=0,AF133=0),"Yes",IF(AND(INDIRECT("H133")&lt;INDIRECT("F133"),AA133=0,AB133=0,AC133=0,AF133=0),"No","N/A"))</f>
        <v>N/A</v>
      </c>
      <c r="J133" s="176" t="str">
        <f t="shared" ca="1" si="10"/>
        <v>No Error</v>
      </c>
      <c r="K133" s="176"/>
      <c r="L133" s="176"/>
      <c r="R133" s="5"/>
      <c r="AA133" s="61">
        <f ca="1">COUNTBLANK(INDIRECT("C133"))</f>
        <v>1</v>
      </c>
      <c r="AB133" s="61">
        <f ca="1">COUNTBLANK(INDIRECT("D133"))</f>
        <v>1</v>
      </c>
      <c r="AC133" s="61">
        <f ca="1">COUNTBLANK(INDIRECT("E133"))</f>
        <v>1</v>
      </c>
      <c r="AD133" s="61">
        <f ca="1">COUNTBLANK(INDIRECT("F133"))</f>
        <v>1</v>
      </c>
      <c r="AE133" s="61">
        <f ca="1">COUNTBLANK(INDIRECT("G133"))</f>
        <v>1</v>
      </c>
      <c r="AF133" s="61">
        <f ca="1">COUNTBLANK(INDIRECT("H133"))</f>
        <v>1</v>
      </c>
      <c r="AG133" s="61">
        <f ca="1">COUNTBLANK(INDIRECT("B133"))</f>
        <v>1</v>
      </c>
    </row>
    <row r="134" spans="1:33" x14ac:dyDescent="0.25">
      <c r="A134" s="2">
        <v>106</v>
      </c>
      <c r="B134" s="63"/>
      <c r="C134" s="56"/>
      <c r="D134" s="56"/>
      <c r="E134" s="56"/>
      <c r="F134" s="56"/>
      <c r="G134" s="56"/>
      <c r="H134" s="56"/>
      <c r="I134" s="107" t="str">
        <f ca="1">IF(AND(INDIRECT("H134")&gt;=INDIRECT("F134"),AA134=0,AB134=0,AC134=0,AF134=0),"Yes",IF(AND(INDIRECT("H134")&lt;INDIRECT("F134"),AA134=0,AB134=0,AC134=0,AF134=0),"No","N/A"))</f>
        <v>N/A</v>
      </c>
      <c r="J134" s="176" t="str">
        <f t="shared" ca="1" si="10"/>
        <v>No Error</v>
      </c>
      <c r="K134" s="176"/>
      <c r="L134" s="176"/>
      <c r="R134" s="5"/>
      <c r="AA134" s="61">
        <f ca="1">COUNTBLANK(INDIRECT("C134"))</f>
        <v>1</v>
      </c>
      <c r="AB134" s="61">
        <f ca="1">COUNTBLANK(INDIRECT("D134"))</f>
        <v>1</v>
      </c>
      <c r="AC134" s="61">
        <f ca="1">COUNTBLANK(INDIRECT("E134"))</f>
        <v>1</v>
      </c>
      <c r="AD134" s="61">
        <f ca="1">COUNTBLANK(INDIRECT("F134"))</f>
        <v>1</v>
      </c>
      <c r="AE134" s="61">
        <f ca="1">COUNTBLANK(INDIRECT("G134"))</f>
        <v>1</v>
      </c>
      <c r="AF134" s="61">
        <f ca="1">COUNTBLANK(INDIRECT("H134"))</f>
        <v>1</v>
      </c>
      <c r="AG134" s="61">
        <f ca="1">COUNTBLANK(INDIRECT("B134"))</f>
        <v>1</v>
      </c>
    </row>
    <row r="135" spans="1:33" x14ac:dyDescent="0.25">
      <c r="A135" s="2">
        <v>107</v>
      </c>
      <c r="B135" s="63"/>
      <c r="C135" s="56"/>
      <c r="D135" s="56"/>
      <c r="E135" s="56"/>
      <c r="F135" s="56"/>
      <c r="G135" s="56"/>
      <c r="H135" s="56"/>
      <c r="I135" s="107" t="str">
        <f ca="1">IF(AND(INDIRECT("H135")&gt;=INDIRECT("F135"),AA135=0,AB135=0,AC135=0,AF135=0),"Yes",IF(AND(INDIRECT("H135")&lt;INDIRECT("F135"),AA135=0,AB135=0,AC135=0,AF135=0),"No","N/A"))</f>
        <v>N/A</v>
      </c>
      <c r="J135" s="176" t="str">
        <f t="shared" ca="1" si="10"/>
        <v>No Error</v>
      </c>
      <c r="K135" s="176"/>
      <c r="L135" s="176"/>
      <c r="R135" s="5"/>
      <c r="AA135" s="61">
        <f ca="1">COUNTBLANK(INDIRECT("C135"))</f>
        <v>1</v>
      </c>
      <c r="AB135" s="61">
        <f ca="1">COUNTBLANK(INDIRECT("D135"))</f>
        <v>1</v>
      </c>
      <c r="AC135" s="61">
        <f ca="1">COUNTBLANK(INDIRECT("E135"))</f>
        <v>1</v>
      </c>
      <c r="AD135" s="61">
        <f ca="1">COUNTBLANK(INDIRECT("F135"))</f>
        <v>1</v>
      </c>
      <c r="AE135" s="61">
        <f ca="1">COUNTBLANK(INDIRECT("G135"))</f>
        <v>1</v>
      </c>
      <c r="AF135" s="61">
        <f ca="1">COUNTBLANK(INDIRECT("H135"))</f>
        <v>1</v>
      </c>
      <c r="AG135" s="61">
        <f ca="1">COUNTBLANK(INDIRECT("B135"))</f>
        <v>1</v>
      </c>
    </row>
    <row r="136" spans="1:33" x14ac:dyDescent="0.25">
      <c r="A136" s="2">
        <v>108</v>
      </c>
      <c r="B136" s="63"/>
      <c r="C136" s="56"/>
      <c r="D136" s="56"/>
      <c r="E136" s="56"/>
      <c r="F136" s="56"/>
      <c r="G136" s="56"/>
      <c r="H136" s="56"/>
      <c r="I136" s="107" t="str">
        <f ca="1">IF(AND(INDIRECT("H136")&gt;=INDIRECT("F136"),AA136=0,AB136=0,AC136=0,AF136=0),"Yes",IF(AND(INDIRECT("H136")&lt;INDIRECT("F136"),AA136=0,AB136=0,AC136=0,AF136=0),"No","N/A"))</f>
        <v>N/A</v>
      </c>
      <c r="J136" s="176" t="str">
        <f t="shared" ca="1" si="10"/>
        <v>No Error</v>
      </c>
      <c r="K136" s="176"/>
      <c r="L136" s="176"/>
      <c r="R136" s="5"/>
      <c r="AA136" s="61">
        <f ca="1">COUNTBLANK(INDIRECT("C136"))</f>
        <v>1</v>
      </c>
      <c r="AB136" s="61">
        <f ca="1">COUNTBLANK(INDIRECT("D136"))</f>
        <v>1</v>
      </c>
      <c r="AC136" s="61">
        <f ca="1">COUNTBLANK(INDIRECT("E136"))</f>
        <v>1</v>
      </c>
      <c r="AD136" s="61">
        <f ca="1">COUNTBLANK(INDIRECT("F136"))</f>
        <v>1</v>
      </c>
      <c r="AE136" s="61">
        <f ca="1">COUNTBLANK(INDIRECT("G136"))</f>
        <v>1</v>
      </c>
      <c r="AF136" s="61">
        <f ca="1">COUNTBLANK(INDIRECT("H136"))</f>
        <v>1</v>
      </c>
      <c r="AG136" s="61">
        <f ca="1">COUNTBLANK(INDIRECT("B136"))</f>
        <v>1</v>
      </c>
    </row>
    <row r="137" spans="1:33" x14ac:dyDescent="0.25">
      <c r="A137" s="2">
        <v>109</v>
      </c>
      <c r="B137" s="63"/>
      <c r="C137" s="56"/>
      <c r="D137" s="56"/>
      <c r="E137" s="56"/>
      <c r="F137" s="56"/>
      <c r="G137" s="56"/>
      <c r="H137" s="56"/>
      <c r="I137" s="107" t="str">
        <f ca="1">IF(AND(INDIRECT("H137")&gt;=INDIRECT("F137"),AA137=0,AB137=0,AC137=0,AF137=0),"Yes",IF(AND(INDIRECT("H137")&lt;INDIRECT("F137"),AA137=0,AB137=0,AC137=0,AF137=0),"No","N/A"))</f>
        <v>N/A</v>
      </c>
      <c r="J137" s="176" t="str">
        <f t="shared" ca="1" si="10"/>
        <v>No Error</v>
      </c>
      <c r="K137" s="176"/>
      <c r="L137" s="176"/>
      <c r="R137" s="5"/>
      <c r="AA137" s="61">
        <f ca="1">COUNTBLANK(INDIRECT("C137"))</f>
        <v>1</v>
      </c>
      <c r="AB137" s="61">
        <f ca="1">COUNTBLANK(INDIRECT("D137"))</f>
        <v>1</v>
      </c>
      <c r="AC137" s="61">
        <f ca="1">COUNTBLANK(INDIRECT("E137"))</f>
        <v>1</v>
      </c>
      <c r="AD137" s="61">
        <f ca="1">COUNTBLANK(INDIRECT("F137"))</f>
        <v>1</v>
      </c>
      <c r="AE137" s="61">
        <f ca="1">COUNTBLANK(INDIRECT("G137"))</f>
        <v>1</v>
      </c>
      <c r="AF137" s="61">
        <f ca="1">COUNTBLANK(INDIRECT("H137"))</f>
        <v>1</v>
      </c>
      <c r="AG137" s="61">
        <f ca="1">COUNTBLANK(INDIRECT("B137"))</f>
        <v>1</v>
      </c>
    </row>
    <row r="138" spans="1:33" x14ac:dyDescent="0.25">
      <c r="A138" s="2">
        <v>110</v>
      </c>
      <c r="B138" s="63"/>
      <c r="C138" s="56"/>
      <c r="D138" s="56"/>
      <c r="E138" s="56"/>
      <c r="F138" s="56"/>
      <c r="G138" s="56"/>
      <c r="H138" s="56"/>
      <c r="I138" s="107" t="str">
        <f ca="1">IF(AND(INDIRECT("H138")&gt;=INDIRECT("F138"),AA138=0,AB138=0,AC138=0,AF138=0),"Yes",IF(AND(INDIRECT("H138")&lt;INDIRECT("F138"),AA138=0,AB138=0,AC138=0,AF138=0),"No","N/A"))</f>
        <v>N/A</v>
      </c>
      <c r="J138" s="176" t="str">
        <f t="shared" ca="1" si="10"/>
        <v>No Error</v>
      </c>
      <c r="K138" s="176"/>
      <c r="L138" s="176"/>
      <c r="R138" s="5"/>
      <c r="AA138" s="61">
        <f ca="1">COUNTBLANK(INDIRECT("C138"))</f>
        <v>1</v>
      </c>
      <c r="AB138" s="61">
        <f ca="1">COUNTBLANK(INDIRECT("D138"))</f>
        <v>1</v>
      </c>
      <c r="AC138" s="61">
        <f ca="1">COUNTBLANK(INDIRECT("E138"))</f>
        <v>1</v>
      </c>
      <c r="AD138" s="61">
        <f ca="1">COUNTBLANK(INDIRECT("F138"))</f>
        <v>1</v>
      </c>
      <c r="AE138" s="61">
        <f ca="1">COUNTBLANK(INDIRECT("G138"))</f>
        <v>1</v>
      </c>
      <c r="AF138" s="61">
        <f ca="1">COUNTBLANK(INDIRECT("H138"))</f>
        <v>1</v>
      </c>
      <c r="AG138" s="61">
        <f ca="1">COUNTBLANK(INDIRECT("B138"))</f>
        <v>1</v>
      </c>
    </row>
    <row r="139" spans="1:33" x14ac:dyDescent="0.25">
      <c r="A139" s="2">
        <v>111</v>
      </c>
      <c r="B139" s="63"/>
      <c r="C139" s="56"/>
      <c r="D139" s="56"/>
      <c r="E139" s="56"/>
      <c r="F139" s="56"/>
      <c r="G139" s="56"/>
      <c r="H139" s="56"/>
      <c r="I139" s="107" t="str">
        <f ca="1">IF(AND(INDIRECT("H139")&gt;=INDIRECT("F139"),AA139=0,AB139=0,AC139=0,AF139=0),"Yes",IF(AND(INDIRECT("H139")&lt;INDIRECT("F139"),AA139=0,AB139=0,AC139=0,AF139=0),"No","N/A"))</f>
        <v>N/A</v>
      </c>
      <c r="J139" s="176" t="str">
        <f t="shared" ca="1" si="10"/>
        <v>No Error</v>
      </c>
      <c r="K139" s="176"/>
      <c r="L139" s="176"/>
      <c r="R139" s="5"/>
      <c r="AA139" s="61">
        <f ca="1">COUNTBLANK(INDIRECT("C139"))</f>
        <v>1</v>
      </c>
      <c r="AB139" s="61">
        <f ca="1">COUNTBLANK(INDIRECT("D139"))</f>
        <v>1</v>
      </c>
      <c r="AC139" s="61">
        <f ca="1">COUNTBLANK(INDIRECT("E139"))</f>
        <v>1</v>
      </c>
      <c r="AD139" s="61">
        <f ca="1">COUNTBLANK(INDIRECT("F139"))</f>
        <v>1</v>
      </c>
      <c r="AE139" s="61">
        <f ca="1">COUNTBLANK(INDIRECT("G139"))</f>
        <v>1</v>
      </c>
      <c r="AF139" s="61">
        <f ca="1">COUNTBLANK(INDIRECT("H139"))</f>
        <v>1</v>
      </c>
      <c r="AG139" s="61">
        <f ca="1">COUNTBLANK(INDIRECT("B139"))</f>
        <v>1</v>
      </c>
    </row>
    <row r="140" spans="1:33" x14ac:dyDescent="0.25">
      <c r="A140" s="2">
        <v>112</v>
      </c>
      <c r="B140" s="63"/>
      <c r="C140" s="56"/>
      <c r="D140" s="56"/>
      <c r="E140" s="56"/>
      <c r="F140" s="56"/>
      <c r="G140" s="56"/>
      <c r="H140" s="56"/>
      <c r="I140" s="107" t="str">
        <f ca="1">IF(AND(INDIRECT("H140")&gt;=INDIRECT("F140"),AA140=0,AB140=0,AC140=0,AF140=0),"Yes",IF(AND(INDIRECT("H140")&lt;INDIRECT("F140"),AA140=0,AB140=0,AC140=0,AF140=0),"No","N/A"))</f>
        <v>N/A</v>
      </c>
      <c r="J140" s="176" t="str">
        <f t="shared" ca="1" si="10"/>
        <v>No Error</v>
      </c>
      <c r="K140" s="176"/>
      <c r="L140" s="176"/>
      <c r="R140" s="5"/>
      <c r="AA140" s="61">
        <f ca="1">COUNTBLANK(INDIRECT("C140"))</f>
        <v>1</v>
      </c>
      <c r="AB140" s="61">
        <f ca="1">COUNTBLANK(INDIRECT("D140"))</f>
        <v>1</v>
      </c>
      <c r="AC140" s="61">
        <f ca="1">COUNTBLANK(INDIRECT("E140"))</f>
        <v>1</v>
      </c>
      <c r="AD140" s="61">
        <f ca="1">COUNTBLANK(INDIRECT("F140"))</f>
        <v>1</v>
      </c>
      <c r="AE140" s="61">
        <f ca="1">COUNTBLANK(INDIRECT("G140"))</f>
        <v>1</v>
      </c>
      <c r="AF140" s="61">
        <f ca="1">COUNTBLANK(INDIRECT("H140"))</f>
        <v>1</v>
      </c>
      <c r="AG140" s="61">
        <f ca="1">COUNTBLANK(INDIRECT("B140"))</f>
        <v>1</v>
      </c>
    </row>
    <row r="141" spans="1:33" x14ac:dyDescent="0.25">
      <c r="A141" s="2">
        <v>113</v>
      </c>
      <c r="B141" s="63"/>
      <c r="C141" s="56"/>
      <c r="D141" s="56"/>
      <c r="E141" s="56"/>
      <c r="F141" s="56"/>
      <c r="G141" s="56"/>
      <c r="H141" s="56"/>
      <c r="I141" s="107" t="str">
        <f ca="1">IF(AND(INDIRECT("H141")&gt;=INDIRECT("F141"),AA141=0,AB141=0,AC141=0,AF141=0),"Yes",IF(AND(INDIRECT("H141")&lt;INDIRECT("F141"),AA141=0,AB141=0,AC141=0,AF141=0),"No","N/A"))</f>
        <v>N/A</v>
      </c>
      <c r="J141" s="176" t="str">
        <f t="shared" ca="1" si="10"/>
        <v>No Error</v>
      </c>
      <c r="K141" s="176"/>
      <c r="L141" s="176"/>
      <c r="R141" s="5"/>
      <c r="AA141" s="61">
        <f ca="1">COUNTBLANK(INDIRECT("C141"))</f>
        <v>1</v>
      </c>
      <c r="AB141" s="61">
        <f ca="1">COUNTBLANK(INDIRECT("D141"))</f>
        <v>1</v>
      </c>
      <c r="AC141" s="61">
        <f ca="1">COUNTBLANK(INDIRECT("E141"))</f>
        <v>1</v>
      </c>
      <c r="AD141" s="61">
        <f ca="1">COUNTBLANK(INDIRECT("F141"))</f>
        <v>1</v>
      </c>
      <c r="AE141" s="61">
        <f ca="1">COUNTBLANK(INDIRECT("G141"))</f>
        <v>1</v>
      </c>
      <c r="AF141" s="61">
        <f ca="1">COUNTBLANK(INDIRECT("H141"))</f>
        <v>1</v>
      </c>
      <c r="AG141" s="61">
        <f ca="1">COUNTBLANK(INDIRECT("B141"))</f>
        <v>1</v>
      </c>
    </row>
    <row r="142" spans="1:33" x14ac:dyDescent="0.25">
      <c r="A142" s="2">
        <v>114</v>
      </c>
      <c r="B142" s="63"/>
      <c r="C142" s="56"/>
      <c r="D142" s="56"/>
      <c r="E142" s="56"/>
      <c r="F142" s="56"/>
      <c r="G142" s="56"/>
      <c r="H142" s="56"/>
      <c r="I142" s="107" t="str">
        <f ca="1">IF(AND(INDIRECT("H142")&gt;=INDIRECT("F142"),AA142=0,AB142=0,AC142=0,AF142=0),"Yes",IF(AND(INDIRECT("H142")&lt;INDIRECT("F142"),AA142=0,AB142=0,AC142=0,AF142=0),"No","N/A"))</f>
        <v>N/A</v>
      </c>
      <c r="J142" s="176" t="str">
        <f t="shared" ca="1" si="10"/>
        <v>No Error</v>
      </c>
      <c r="K142" s="176"/>
      <c r="L142" s="176"/>
      <c r="R142" s="5"/>
      <c r="AA142" s="61">
        <f ca="1">COUNTBLANK(INDIRECT("C142"))</f>
        <v>1</v>
      </c>
      <c r="AB142" s="61">
        <f ca="1">COUNTBLANK(INDIRECT("D142"))</f>
        <v>1</v>
      </c>
      <c r="AC142" s="61">
        <f ca="1">COUNTBLANK(INDIRECT("E142"))</f>
        <v>1</v>
      </c>
      <c r="AD142" s="61">
        <f ca="1">COUNTBLANK(INDIRECT("F142"))</f>
        <v>1</v>
      </c>
      <c r="AE142" s="61">
        <f ca="1">COUNTBLANK(INDIRECT("G142"))</f>
        <v>1</v>
      </c>
      <c r="AF142" s="61">
        <f ca="1">COUNTBLANK(INDIRECT("H142"))</f>
        <v>1</v>
      </c>
      <c r="AG142" s="61">
        <f ca="1">COUNTBLANK(INDIRECT("B142"))</f>
        <v>1</v>
      </c>
    </row>
    <row r="143" spans="1:33" x14ac:dyDescent="0.25">
      <c r="A143" s="2">
        <v>115</v>
      </c>
      <c r="B143" s="63"/>
      <c r="C143" s="56"/>
      <c r="D143" s="56"/>
      <c r="E143" s="56"/>
      <c r="F143" s="56"/>
      <c r="G143" s="56"/>
      <c r="H143" s="56"/>
      <c r="I143" s="107" t="str">
        <f ca="1">IF(AND(INDIRECT("H143")&gt;=INDIRECT("F143"),AA143=0,AB143=0,AC143=0,AF143=0),"Yes",IF(AND(INDIRECT("H143")&lt;INDIRECT("F143"),AA143=0,AB143=0,AC143=0,AF143=0),"No","N/A"))</f>
        <v>N/A</v>
      </c>
      <c r="J143" s="176" t="str">
        <f t="shared" ca="1" si="10"/>
        <v>No Error</v>
      </c>
      <c r="K143" s="176"/>
      <c r="L143" s="176"/>
      <c r="R143" s="5"/>
      <c r="AA143" s="61">
        <f ca="1">COUNTBLANK(INDIRECT("C143"))</f>
        <v>1</v>
      </c>
      <c r="AB143" s="61">
        <f ca="1">COUNTBLANK(INDIRECT("D143"))</f>
        <v>1</v>
      </c>
      <c r="AC143" s="61">
        <f ca="1">COUNTBLANK(INDIRECT("E143"))</f>
        <v>1</v>
      </c>
      <c r="AD143" s="61">
        <f ca="1">COUNTBLANK(INDIRECT("F143"))</f>
        <v>1</v>
      </c>
      <c r="AE143" s="61">
        <f ca="1">COUNTBLANK(INDIRECT("G143"))</f>
        <v>1</v>
      </c>
      <c r="AF143" s="61">
        <f ca="1">COUNTBLANK(INDIRECT("H143"))</f>
        <v>1</v>
      </c>
      <c r="AG143" s="61">
        <f ca="1">COUNTBLANK(INDIRECT("B143"))</f>
        <v>1</v>
      </c>
    </row>
    <row r="144" spans="1:33" x14ac:dyDescent="0.25">
      <c r="A144" s="2">
        <v>116</v>
      </c>
      <c r="B144" s="63"/>
      <c r="C144" s="56"/>
      <c r="D144" s="56"/>
      <c r="E144" s="56"/>
      <c r="F144" s="56"/>
      <c r="G144" s="56"/>
      <c r="H144" s="56"/>
      <c r="I144" s="107" t="str">
        <f ca="1">IF(AND(INDIRECT("H144")&gt;=INDIRECT("F144"),AA144=0,AB144=0,AC144=0,AF144=0),"Yes",IF(AND(INDIRECT("H144")&lt;INDIRECT("F144"),AA144=0,AB144=0,AC144=0,AF144=0),"No","N/A"))</f>
        <v>N/A</v>
      </c>
      <c r="J144" s="176" t="str">
        <f t="shared" ca="1" si="10"/>
        <v>No Error</v>
      </c>
      <c r="K144" s="176"/>
      <c r="L144" s="176"/>
      <c r="R144" s="5"/>
      <c r="AA144" s="61">
        <f ca="1">COUNTBLANK(INDIRECT("C144"))</f>
        <v>1</v>
      </c>
      <c r="AB144" s="61">
        <f ca="1">COUNTBLANK(INDIRECT("D144"))</f>
        <v>1</v>
      </c>
      <c r="AC144" s="61">
        <f ca="1">COUNTBLANK(INDIRECT("E144"))</f>
        <v>1</v>
      </c>
      <c r="AD144" s="61">
        <f ca="1">COUNTBLANK(INDIRECT("F144"))</f>
        <v>1</v>
      </c>
      <c r="AE144" s="61">
        <f ca="1">COUNTBLANK(INDIRECT("G144"))</f>
        <v>1</v>
      </c>
      <c r="AF144" s="61">
        <f ca="1">COUNTBLANK(INDIRECT("H144"))</f>
        <v>1</v>
      </c>
      <c r="AG144" s="61">
        <f ca="1">COUNTBLANK(INDIRECT("B144"))</f>
        <v>1</v>
      </c>
    </row>
    <row r="145" spans="1:33" x14ac:dyDescent="0.25">
      <c r="A145" s="2">
        <v>117</v>
      </c>
      <c r="B145" s="63"/>
      <c r="C145" s="56"/>
      <c r="D145" s="56"/>
      <c r="E145" s="56"/>
      <c r="F145" s="56"/>
      <c r="G145" s="56"/>
      <c r="H145" s="56"/>
      <c r="I145" s="107" t="str">
        <f ca="1">IF(AND(INDIRECT("H145")&gt;=INDIRECT("F145"),AA145=0,AB145=0,AC145=0,AF145=0),"Yes",IF(AND(INDIRECT("H145")&lt;INDIRECT("F145"),AA145=0,AB145=0,AC145=0,AF145=0),"No","N/A"))</f>
        <v>N/A</v>
      </c>
      <c r="J145" s="176" t="str">
        <f t="shared" ca="1" si="10"/>
        <v>No Error</v>
      </c>
      <c r="K145" s="176"/>
      <c r="L145" s="176"/>
      <c r="R145" s="5"/>
      <c r="AA145" s="61">
        <f ca="1">COUNTBLANK(INDIRECT("C145"))</f>
        <v>1</v>
      </c>
      <c r="AB145" s="61">
        <f ca="1">COUNTBLANK(INDIRECT("D145"))</f>
        <v>1</v>
      </c>
      <c r="AC145" s="61">
        <f ca="1">COUNTBLANK(INDIRECT("E145"))</f>
        <v>1</v>
      </c>
      <c r="AD145" s="61">
        <f ca="1">COUNTBLANK(INDIRECT("F145"))</f>
        <v>1</v>
      </c>
      <c r="AE145" s="61">
        <f ca="1">COUNTBLANK(INDIRECT("G145"))</f>
        <v>1</v>
      </c>
      <c r="AF145" s="61">
        <f ca="1">COUNTBLANK(INDIRECT("H145"))</f>
        <v>1</v>
      </c>
      <c r="AG145" s="61">
        <f ca="1">COUNTBLANK(INDIRECT("B145"))</f>
        <v>1</v>
      </c>
    </row>
    <row r="146" spans="1:33" x14ac:dyDescent="0.25">
      <c r="A146" s="2">
        <v>118</v>
      </c>
      <c r="B146" s="63"/>
      <c r="C146" s="56"/>
      <c r="D146" s="56"/>
      <c r="E146" s="56"/>
      <c r="F146" s="56"/>
      <c r="G146" s="56"/>
      <c r="H146" s="56"/>
      <c r="I146" s="107" t="str">
        <f ca="1">IF(AND(INDIRECT("H146")&gt;=INDIRECT("F146"),AA146=0,AB146=0,AC146=0,AF146=0),"Yes",IF(AND(INDIRECT("H146")&lt;INDIRECT("F146"),AA146=0,AB146=0,AC146=0,AF146=0),"No","N/A"))</f>
        <v>N/A</v>
      </c>
      <c r="J146" s="176" t="str">
        <f t="shared" ca="1" si="10"/>
        <v>No Error</v>
      </c>
      <c r="K146" s="176"/>
      <c r="L146" s="176"/>
      <c r="AA146" s="61">
        <f ca="1">COUNTBLANK(INDIRECT("C146"))</f>
        <v>1</v>
      </c>
      <c r="AB146" s="61">
        <f ca="1">COUNTBLANK(INDIRECT("D146"))</f>
        <v>1</v>
      </c>
      <c r="AC146" s="61">
        <f ca="1">COUNTBLANK(INDIRECT("E146"))</f>
        <v>1</v>
      </c>
      <c r="AD146" s="61">
        <f ca="1">COUNTBLANK(INDIRECT("F146"))</f>
        <v>1</v>
      </c>
      <c r="AE146" s="61">
        <f ca="1">COUNTBLANK(INDIRECT("G146"))</f>
        <v>1</v>
      </c>
      <c r="AF146" s="61">
        <f ca="1">COUNTBLANK(INDIRECT("H146"))</f>
        <v>1</v>
      </c>
      <c r="AG146" s="61">
        <f ca="1">COUNTBLANK(INDIRECT("B146"))</f>
        <v>1</v>
      </c>
    </row>
    <row r="147" spans="1:33" x14ac:dyDescent="0.25">
      <c r="A147" s="2">
        <v>119</v>
      </c>
      <c r="B147" s="63"/>
      <c r="C147" s="56"/>
      <c r="D147" s="56"/>
      <c r="E147" s="56"/>
      <c r="F147" s="56"/>
      <c r="G147" s="56"/>
      <c r="H147" s="56"/>
      <c r="I147" s="107" t="str">
        <f ca="1">IF(AND(INDIRECT("H147")&gt;=INDIRECT("F147"),AA147=0,AB147=0,AC147=0,AF147=0),"Yes",IF(AND(INDIRECT("H147")&lt;INDIRECT("F147"),AA147=0,AB147=0,AC147=0,AF147=0),"No","N/A"))</f>
        <v>N/A</v>
      </c>
      <c r="J147" s="176" t="str">
        <f t="shared" ca="1" si="10"/>
        <v>No Error</v>
      </c>
      <c r="K147" s="176"/>
      <c r="L147" s="176"/>
      <c r="AA147" s="61">
        <f ca="1">COUNTBLANK(INDIRECT("C147"))</f>
        <v>1</v>
      </c>
      <c r="AB147" s="61">
        <f ca="1">COUNTBLANK(INDIRECT("D147"))</f>
        <v>1</v>
      </c>
      <c r="AC147" s="61">
        <f ca="1">COUNTBLANK(INDIRECT("E147"))</f>
        <v>1</v>
      </c>
      <c r="AD147" s="61">
        <f ca="1">COUNTBLANK(INDIRECT("F147"))</f>
        <v>1</v>
      </c>
      <c r="AE147" s="61">
        <f ca="1">COUNTBLANK(INDIRECT("G147"))</f>
        <v>1</v>
      </c>
      <c r="AF147" s="61">
        <f ca="1">COUNTBLANK(INDIRECT("H147"))</f>
        <v>1</v>
      </c>
      <c r="AG147" s="61">
        <f ca="1">COUNTBLANK(INDIRECT("B147"))</f>
        <v>1</v>
      </c>
    </row>
    <row r="148" spans="1:33" x14ac:dyDescent="0.25">
      <c r="A148" s="2">
        <v>120</v>
      </c>
      <c r="B148" s="63"/>
      <c r="C148" s="56"/>
      <c r="D148" s="56"/>
      <c r="E148" s="56"/>
      <c r="F148" s="56"/>
      <c r="G148" s="56"/>
      <c r="H148" s="56"/>
      <c r="I148" s="107" t="str">
        <f ca="1">IF(AND(INDIRECT("H148")&gt;=INDIRECT("F148"),AA148=0,AB148=0,AC148=0,AF148=0),"Yes",IF(AND(INDIRECT("H148")&lt;INDIRECT("F148"),AA148=0,AB148=0,AC148=0,AF148=0),"No","N/A"))</f>
        <v>N/A</v>
      </c>
      <c r="J148" s="176" t="str">
        <f t="shared" ca="1" si="10"/>
        <v>No Error</v>
      </c>
      <c r="K148" s="176"/>
      <c r="L148" s="176"/>
      <c r="AA148" s="61">
        <f ca="1">COUNTBLANK(INDIRECT("C148"))</f>
        <v>1</v>
      </c>
      <c r="AB148" s="61">
        <f ca="1">COUNTBLANK(INDIRECT("D148"))</f>
        <v>1</v>
      </c>
      <c r="AC148" s="61">
        <f ca="1">COUNTBLANK(INDIRECT("E148"))</f>
        <v>1</v>
      </c>
      <c r="AD148" s="61">
        <f ca="1">COUNTBLANK(INDIRECT("F148"))</f>
        <v>1</v>
      </c>
      <c r="AE148" s="61">
        <f ca="1">COUNTBLANK(INDIRECT("G148"))</f>
        <v>1</v>
      </c>
      <c r="AF148" s="61">
        <f ca="1">COUNTBLANK(INDIRECT("H148"))</f>
        <v>1</v>
      </c>
      <c r="AG148" s="61">
        <f ca="1">COUNTBLANK(INDIRECT("B148"))</f>
        <v>1</v>
      </c>
    </row>
    <row r="149" spans="1:33" x14ac:dyDescent="0.25">
      <c r="A149" s="2">
        <v>121</v>
      </c>
      <c r="B149" s="63"/>
      <c r="C149" s="56"/>
      <c r="D149" s="56"/>
      <c r="E149" s="56"/>
      <c r="F149" s="56"/>
      <c r="G149" s="56"/>
      <c r="H149" s="56"/>
      <c r="I149" s="107" t="str">
        <f ca="1">IF(AND(INDIRECT("H149")&gt;=INDIRECT("F149"),AA149=0,AB149=0,AC149=0,AF149=0),"Yes",IF(AND(INDIRECT("H149")&lt;INDIRECT("F149"),AA149=0,AB149=0,AC149=0,AF149=0),"No","N/A"))</f>
        <v>N/A</v>
      </c>
      <c r="J149" s="176" t="str">
        <f t="shared" ca="1" si="10"/>
        <v>No Error</v>
      </c>
      <c r="K149" s="176"/>
      <c r="L149" s="176"/>
      <c r="AA149" s="61">
        <f ca="1">COUNTBLANK(INDIRECT("C149"))</f>
        <v>1</v>
      </c>
      <c r="AB149" s="61">
        <f ca="1">COUNTBLANK(INDIRECT("D149"))</f>
        <v>1</v>
      </c>
      <c r="AC149" s="61">
        <f ca="1">COUNTBLANK(INDIRECT("E149"))</f>
        <v>1</v>
      </c>
      <c r="AD149" s="61">
        <f ca="1">COUNTBLANK(INDIRECT("F149"))</f>
        <v>1</v>
      </c>
      <c r="AE149" s="61">
        <f ca="1">COUNTBLANK(INDIRECT("G149"))</f>
        <v>1</v>
      </c>
      <c r="AF149" s="61">
        <f ca="1">COUNTBLANK(INDIRECT("H149"))</f>
        <v>1</v>
      </c>
      <c r="AG149" s="61">
        <f ca="1">COUNTBLANK(INDIRECT("B149"))</f>
        <v>1</v>
      </c>
    </row>
    <row r="150" spans="1:33" x14ac:dyDescent="0.25">
      <c r="A150" s="2">
        <v>122</v>
      </c>
      <c r="B150" s="63"/>
      <c r="C150" s="56"/>
      <c r="D150" s="56"/>
      <c r="E150" s="56"/>
      <c r="F150" s="56"/>
      <c r="G150" s="56"/>
      <c r="H150" s="56"/>
      <c r="I150" s="107" t="str">
        <f ca="1">IF(AND(INDIRECT("H150")&gt;=INDIRECT("F150"),AA150=0,AB150=0,AC150=0,AF150=0),"Yes",IF(AND(INDIRECT("H150")&lt;INDIRECT("F150"),AA150=0,AB150=0,AC150=0,AF150=0),"No","N/A"))</f>
        <v>N/A</v>
      </c>
      <c r="J150" s="176" t="str">
        <f t="shared" ca="1" si="10"/>
        <v>No Error</v>
      </c>
      <c r="K150" s="176"/>
      <c r="L150" s="176"/>
      <c r="AA150" s="61">
        <f ca="1">COUNTBLANK(INDIRECT("C150"))</f>
        <v>1</v>
      </c>
      <c r="AB150" s="61">
        <f ca="1">COUNTBLANK(INDIRECT("D150"))</f>
        <v>1</v>
      </c>
      <c r="AC150" s="61">
        <f ca="1">COUNTBLANK(INDIRECT("E150"))</f>
        <v>1</v>
      </c>
      <c r="AD150" s="61">
        <f ca="1">COUNTBLANK(INDIRECT("F150"))</f>
        <v>1</v>
      </c>
      <c r="AE150" s="61">
        <f ca="1">COUNTBLANK(INDIRECT("G150"))</f>
        <v>1</v>
      </c>
      <c r="AF150" s="61">
        <f ca="1">COUNTBLANK(INDIRECT("H150"))</f>
        <v>1</v>
      </c>
      <c r="AG150" s="61">
        <f ca="1">COUNTBLANK(INDIRECT("B150"))</f>
        <v>1</v>
      </c>
    </row>
    <row r="151" spans="1:33" x14ac:dyDescent="0.25">
      <c r="A151" s="2">
        <v>123</v>
      </c>
      <c r="B151" s="63"/>
      <c r="C151" s="56"/>
      <c r="D151" s="56"/>
      <c r="E151" s="56"/>
      <c r="F151" s="56"/>
      <c r="G151" s="56"/>
      <c r="H151" s="56"/>
      <c r="I151" s="107" t="str">
        <f ca="1">IF(AND(INDIRECT("H151")&gt;=INDIRECT("F151"),AA151=0,AB151=0,AC151=0,AF151=0),"Yes",IF(AND(INDIRECT("H151")&lt;INDIRECT("F151"),AA151=0,AB151=0,AC151=0,AF151=0),"No","N/A"))</f>
        <v>N/A</v>
      </c>
      <c r="J151" s="176" t="str">
        <f t="shared" ca="1" si="10"/>
        <v>No Error</v>
      </c>
      <c r="K151" s="176"/>
      <c r="L151" s="176"/>
      <c r="AA151" s="61">
        <f ca="1">COUNTBLANK(INDIRECT("C151"))</f>
        <v>1</v>
      </c>
      <c r="AB151" s="61">
        <f ca="1">COUNTBLANK(INDIRECT("D151"))</f>
        <v>1</v>
      </c>
      <c r="AC151" s="61">
        <f ca="1">COUNTBLANK(INDIRECT("E151"))</f>
        <v>1</v>
      </c>
      <c r="AD151" s="61">
        <f ca="1">COUNTBLANK(INDIRECT("F151"))</f>
        <v>1</v>
      </c>
      <c r="AE151" s="61">
        <f ca="1">COUNTBLANK(INDIRECT("G151"))</f>
        <v>1</v>
      </c>
      <c r="AF151" s="61">
        <f ca="1">COUNTBLANK(INDIRECT("H151"))</f>
        <v>1</v>
      </c>
      <c r="AG151" s="61">
        <f ca="1">COUNTBLANK(INDIRECT("B151"))</f>
        <v>1</v>
      </c>
    </row>
    <row r="152" spans="1:33" x14ac:dyDescent="0.25">
      <c r="A152" s="2">
        <v>124</v>
      </c>
      <c r="B152" s="63"/>
      <c r="C152" s="56"/>
      <c r="D152" s="56"/>
      <c r="E152" s="56"/>
      <c r="F152" s="56"/>
      <c r="G152" s="56"/>
      <c r="H152" s="56"/>
      <c r="I152" s="107" t="str">
        <f ca="1">IF(AND(INDIRECT("H152")&gt;=INDIRECT("F152"),AA152=0,AB152=0,AC152=0,AF152=0),"Yes",IF(AND(INDIRECT("H152")&lt;INDIRECT("F152"),AA152=0,AB152=0,AC152=0,AF152=0),"No","N/A"))</f>
        <v>N/A</v>
      </c>
      <c r="J152" s="176" t="str">
        <f t="shared" ca="1" si="10"/>
        <v>No Error</v>
      </c>
      <c r="K152" s="176"/>
      <c r="L152" s="176"/>
      <c r="AA152" s="61">
        <f ca="1">COUNTBLANK(INDIRECT("C152"))</f>
        <v>1</v>
      </c>
      <c r="AB152" s="61">
        <f ca="1">COUNTBLANK(INDIRECT("D152"))</f>
        <v>1</v>
      </c>
      <c r="AC152" s="61">
        <f ca="1">COUNTBLANK(INDIRECT("E152"))</f>
        <v>1</v>
      </c>
      <c r="AD152" s="61">
        <f ca="1">COUNTBLANK(INDIRECT("F152"))</f>
        <v>1</v>
      </c>
      <c r="AE152" s="61">
        <f ca="1">COUNTBLANK(INDIRECT("G152"))</f>
        <v>1</v>
      </c>
      <c r="AF152" s="61">
        <f ca="1">COUNTBLANK(INDIRECT("H152"))</f>
        <v>1</v>
      </c>
      <c r="AG152" s="61">
        <f ca="1">COUNTBLANK(INDIRECT("B152"))</f>
        <v>1</v>
      </c>
    </row>
    <row r="153" spans="1:33" x14ac:dyDescent="0.25">
      <c r="A153" s="2">
        <v>125</v>
      </c>
      <c r="B153" s="63"/>
      <c r="C153" s="56"/>
      <c r="D153" s="56"/>
      <c r="E153" s="56"/>
      <c r="F153" s="56"/>
      <c r="G153" s="56"/>
      <c r="H153" s="56"/>
      <c r="I153" s="108" t="str">
        <f ca="1">IF(AND(INDIRECT("H153")&gt;=INDIRECT("F153"),AA153=0,AB153=0,AC153=0,AF153=0),"Yes",IF(AND(INDIRECT("H153")&lt;INDIRECT("F153"),AA153=0,AB153=0,AC153=0,AF153=0),"No","N/A"))</f>
        <v>N/A</v>
      </c>
      <c r="J153" s="176" t="str">
        <f t="shared" ref="J153:J178" ca="1" si="11">IF(AND(AF153=0,AG153=0,AA153=0,AB153=0,AC153=0,AD153=0),"No Error",IF(AND(AF153=1,AG153=1,AA153=1,AB153=1,AC153=1,AD153=1),"No Error","Please supply all information"))</f>
        <v>No Error</v>
      </c>
      <c r="K153" s="176"/>
      <c r="L153" s="176"/>
      <c r="AA153" s="61">
        <f ca="1">COUNTBLANK(INDIRECT("C153"))</f>
        <v>1</v>
      </c>
      <c r="AB153" s="61">
        <f ca="1">COUNTBLANK(INDIRECT("D153"))</f>
        <v>1</v>
      </c>
      <c r="AC153" s="61">
        <f ca="1">COUNTBLANK(INDIRECT("E153"))</f>
        <v>1</v>
      </c>
      <c r="AD153" s="61">
        <f ca="1">COUNTBLANK(INDIRECT("F153"))</f>
        <v>1</v>
      </c>
      <c r="AE153" s="61">
        <f ca="1">COUNTBLANK(INDIRECT("G153"))</f>
        <v>1</v>
      </c>
      <c r="AF153" s="61">
        <f ca="1">COUNTBLANK(INDIRECT("H153"))</f>
        <v>1</v>
      </c>
      <c r="AG153" s="61">
        <f ca="1">COUNTBLANK(INDIRECT("B153"))</f>
        <v>1</v>
      </c>
    </row>
    <row r="154" spans="1:33" x14ac:dyDescent="0.25">
      <c r="A154" s="2">
        <v>126</v>
      </c>
      <c r="B154" s="63"/>
      <c r="C154" s="56"/>
      <c r="D154" s="56"/>
      <c r="E154" s="56"/>
      <c r="F154" s="56"/>
      <c r="G154" s="56"/>
      <c r="H154" s="56"/>
      <c r="I154" s="108" t="str">
        <f ca="1">IF(AND(INDIRECT("H154")&gt;=INDIRECT("F154"),AA154=0,AB154=0,AC154=0,AF154=0),"Yes",IF(AND(INDIRECT("H154")&lt;INDIRECT("F154"),AA154=0,AB154=0,AC154=0,AF154=0),"No","N/A"))</f>
        <v>N/A</v>
      </c>
      <c r="J154" s="176" t="str">
        <f t="shared" ca="1" si="11"/>
        <v>No Error</v>
      </c>
      <c r="K154" s="176"/>
      <c r="L154" s="176"/>
      <c r="AA154" s="61">
        <f ca="1">COUNTBLANK(INDIRECT("C154"))</f>
        <v>1</v>
      </c>
      <c r="AB154" s="61">
        <f ca="1">COUNTBLANK(INDIRECT("D154"))</f>
        <v>1</v>
      </c>
      <c r="AC154" s="61">
        <f ca="1">COUNTBLANK(INDIRECT("E154"))</f>
        <v>1</v>
      </c>
      <c r="AD154" s="61">
        <f ca="1">COUNTBLANK(INDIRECT("F154"))</f>
        <v>1</v>
      </c>
      <c r="AE154" s="61">
        <f ca="1">COUNTBLANK(INDIRECT("G154"))</f>
        <v>1</v>
      </c>
      <c r="AF154" s="61">
        <f ca="1">COUNTBLANK(INDIRECT("H154"))</f>
        <v>1</v>
      </c>
      <c r="AG154" s="61">
        <f ca="1">COUNTBLANK(INDIRECT("B154"))</f>
        <v>1</v>
      </c>
    </row>
    <row r="155" spans="1:33" x14ac:dyDescent="0.25">
      <c r="A155" s="2">
        <v>127</v>
      </c>
      <c r="B155" s="63"/>
      <c r="C155" s="56"/>
      <c r="D155" s="56"/>
      <c r="E155" s="56"/>
      <c r="F155" s="56"/>
      <c r="G155" s="56"/>
      <c r="H155" s="56"/>
      <c r="I155" s="108" t="str">
        <f ca="1">IF(AND(INDIRECT("H155")&gt;=INDIRECT("F155"),AA155=0,AB155=0,AC155=0,AF155=0),"Yes",IF(AND(INDIRECT("H155")&lt;INDIRECT("F155"),AA155=0,AB155=0,AC155=0,AF155=0),"No","N/A"))</f>
        <v>N/A</v>
      </c>
      <c r="J155" s="176" t="str">
        <f t="shared" ca="1" si="11"/>
        <v>No Error</v>
      </c>
      <c r="K155" s="176"/>
      <c r="L155" s="176"/>
      <c r="AA155" s="61">
        <f ca="1">COUNTBLANK(INDIRECT("C155"))</f>
        <v>1</v>
      </c>
      <c r="AB155" s="61">
        <f ca="1">COUNTBLANK(INDIRECT("D155"))</f>
        <v>1</v>
      </c>
      <c r="AC155" s="61">
        <f ca="1">COUNTBLANK(INDIRECT("E155"))</f>
        <v>1</v>
      </c>
      <c r="AD155" s="61">
        <f ca="1">COUNTBLANK(INDIRECT("F155"))</f>
        <v>1</v>
      </c>
      <c r="AE155" s="61">
        <f ca="1">COUNTBLANK(INDIRECT("G155"))</f>
        <v>1</v>
      </c>
      <c r="AF155" s="61">
        <f ca="1">COUNTBLANK(INDIRECT("H155"))</f>
        <v>1</v>
      </c>
      <c r="AG155" s="61">
        <f ca="1">COUNTBLANK(INDIRECT("B155"))</f>
        <v>1</v>
      </c>
    </row>
    <row r="156" spans="1:33" x14ac:dyDescent="0.25">
      <c r="A156" s="2">
        <v>128</v>
      </c>
      <c r="B156" s="63"/>
      <c r="C156" s="56"/>
      <c r="D156" s="56"/>
      <c r="E156" s="56"/>
      <c r="F156" s="56"/>
      <c r="G156" s="56"/>
      <c r="H156" s="56"/>
      <c r="I156" s="108" t="str">
        <f ca="1">IF(AND(INDIRECT("H156")&gt;=INDIRECT("F156"),AA156=0,AB156=0,AC156=0,AF156=0),"Yes",IF(AND(INDIRECT("H156")&lt;INDIRECT("F156"),AA156=0,AB156=0,AC156=0,AF156=0),"No","N/A"))</f>
        <v>N/A</v>
      </c>
      <c r="J156" s="176" t="str">
        <f t="shared" ca="1" si="11"/>
        <v>No Error</v>
      </c>
      <c r="K156" s="176"/>
      <c r="L156" s="176"/>
      <c r="AA156" s="61">
        <f ca="1">COUNTBLANK(INDIRECT("C156"))</f>
        <v>1</v>
      </c>
      <c r="AB156" s="61">
        <f ca="1">COUNTBLANK(INDIRECT("D156"))</f>
        <v>1</v>
      </c>
      <c r="AC156" s="61">
        <f ca="1">COUNTBLANK(INDIRECT("E156"))</f>
        <v>1</v>
      </c>
      <c r="AD156" s="61">
        <f ca="1">COUNTBLANK(INDIRECT("F156"))</f>
        <v>1</v>
      </c>
      <c r="AE156" s="61">
        <f ca="1">COUNTBLANK(INDIRECT("G156"))</f>
        <v>1</v>
      </c>
      <c r="AF156" s="61">
        <f ca="1">COUNTBLANK(INDIRECT("H156"))</f>
        <v>1</v>
      </c>
      <c r="AG156" s="61">
        <f ca="1">COUNTBLANK(INDIRECT("B156"))</f>
        <v>1</v>
      </c>
    </row>
    <row r="157" spans="1:33" x14ac:dyDescent="0.25">
      <c r="A157" s="2">
        <v>129</v>
      </c>
      <c r="B157" s="63"/>
      <c r="C157" s="56"/>
      <c r="D157" s="56"/>
      <c r="E157" s="56"/>
      <c r="F157" s="56"/>
      <c r="G157" s="56"/>
      <c r="H157" s="56"/>
      <c r="I157" s="108" t="str">
        <f ca="1">IF(AND(INDIRECT("H157")&gt;=INDIRECT("F157"),AA157=0,AB157=0,AC157=0,AF157=0),"Yes",IF(AND(INDIRECT("H157")&lt;INDIRECT("F157"),AA157=0,AB157=0,AC157=0,AF157=0),"No","N/A"))</f>
        <v>N/A</v>
      </c>
      <c r="J157" s="176" t="str">
        <f t="shared" ca="1" si="11"/>
        <v>No Error</v>
      </c>
      <c r="K157" s="176"/>
      <c r="L157" s="176"/>
      <c r="AA157" s="61">
        <f ca="1">COUNTBLANK(INDIRECT("C157"))</f>
        <v>1</v>
      </c>
      <c r="AB157" s="61">
        <f ca="1">COUNTBLANK(INDIRECT("D157"))</f>
        <v>1</v>
      </c>
      <c r="AC157" s="61">
        <f ca="1">COUNTBLANK(INDIRECT("E157"))</f>
        <v>1</v>
      </c>
      <c r="AD157" s="61">
        <f ca="1">COUNTBLANK(INDIRECT("F157"))</f>
        <v>1</v>
      </c>
      <c r="AE157" s="61">
        <f ca="1">COUNTBLANK(INDIRECT("G157"))</f>
        <v>1</v>
      </c>
      <c r="AF157" s="61">
        <f ca="1">COUNTBLANK(INDIRECT("H157"))</f>
        <v>1</v>
      </c>
      <c r="AG157" s="61">
        <f ca="1">COUNTBLANK(INDIRECT("B157"))</f>
        <v>1</v>
      </c>
    </row>
    <row r="158" spans="1:33" x14ac:dyDescent="0.25">
      <c r="A158" s="2">
        <v>130</v>
      </c>
      <c r="B158" s="63"/>
      <c r="C158" s="56"/>
      <c r="D158" s="56"/>
      <c r="E158" s="56"/>
      <c r="F158" s="56"/>
      <c r="G158" s="56"/>
      <c r="H158" s="56"/>
      <c r="I158" s="108" t="str">
        <f ca="1">IF(AND(INDIRECT("H158")&gt;=INDIRECT("F158"),AA158=0,AB158=0,AC158=0,AF158=0),"Yes",IF(AND(INDIRECT("H158")&lt;INDIRECT("F158"),AA158=0,AB158=0,AC158=0,AF158=0),"No","N/A"))</f>
        <v>N/A</v>
      </c>
      <c r="J158" s="176" t="str">
        <f t="shared" ca="1" si="11"/>
        <v>No Error</v>
      </c>
      <c r="K158" s="176"/>
      <c r="L158" s="176"/>
      <c r="AA158" s="61">
        <f ca="1">COUNTBLANK(INDIRECT("C158"))</f>
        <v>1</v>
      </c>
      <c r="AB158" s="61">
        <f ca="1">COUNTBLANK(INDIRECT("D158"))</f>
        <v>1</v>
      </c>
      <c r="AC158" s="61">
        <f ca="1">COUNTBLANK(INDIRECT("E158"))</f>
        <v>1</v>
      </c>
      <c r="AD158" s="61">
        <f ca="1">COUNTBLANK(INDIRECT("F158"))</f>
        <v>1</v>
      </c>
      <c r="AE158" s="61">
        <f ca="1">COUNTBLANK(INDIRECT("G158"))</f>
        <v>1</v>
      </c>
      <c r="AF158" s="61">
        <f ca="1">COUNTBLANK(INDIRECT("H158"))</f>
        <v>1</v>
      </c>
      <c r="AG158" s="61">
        <f ca="1">COUNTBLANK(INDIRECT("B158"))</f>
        <v>1</v>
      </c>
    </row>
    <row r="159" spans="1:33" x14ac:dyDescent="0.25">
      <c r="A159" s="2">
        <v>131</v>
      </c>
      <c r="B159" s="63"/>
      <c r="C159" s="56"/>
      <c r="D159" s="56"/>
      <c r="E159" s="56"/>
      <c r="F159" s="56"/>
      <c r="G159" s="56"/>
      <c r="H159" s="56"/>
      <c r="I159" s="108" t="str">
        <f ca="1">IF(AND(INDIRECT("H159")&gt;=INDIRECT("F159"),AA159=0,AB159=0,AC159=0,AF159=0),"Yes",IF(AND(INDIRECT("H159")&lt;INDIRECT("F159"),AA159=0,AB159=0,AC159=0,AF159=0),"No","N/A"))</f>
        <v>N/A</v>
      </c>
      <c r="J159" s="176" t="str">
        <f t="shared" ca="1" si="11"/>
        <v>No Error</v>
      </c>
      <c r="K159" s="176"/>
      <c r="L159" s="176"/>
      <c r="AA159" s="61">
        <f ca="1">COUNTBLANK(INDIRECT("C159"))</f>
        <v>1</v>
      </c>
      <c r="AB159" s="61">
        <f ca="1">COUNTBLANK(INDIRECT("D159"))</f>
        <v>1</v>
      </c>
      <c r="AC159" s="61">
        <f ca="1">COUNTBLANK(INDIRECT("E159"))</f>
        <v>1</v>
      </c>
      <c r="AD159" s="61">
        <f ca="1">COUNTBLANK(INDIRECT("F159"))</f>
        <v>1</v>
      </c>
      <c r="AE159" s="61">
        <f ca="1">COUNTBLANK(INDIRECT("G159"))</f>
        <v>1</v>
      </c>
      <c r="AF159" s="61">
        <f ca="1">COUNTBLANK(INDIRECT("H159"))</f>
        <v>1</v>
      </c>
      <c r="AG159" s="61">
        <f ca="1">COUNTBLANK(INDIRECT("B159"))</f>
        <v>1</v>
      </c>
    </row>
    <row r="160" spans="1:33" x14ac:dyDescent="0.25">
      <c r="A160" s="2">
        <v>132</v>
      </c>
      <c r="B160" s="63"/>
      <c r="C160" s="56"/>
      <c r="D160" s="56"/>
      <c r="E160" s="56"/>
      <c r="F160" s="56"/>
      <c r="G160" s="56"/>
      <c r="H160" s="56"/>
      <c r="I160" s="108" t="str">
        <f ca="1">IF(AND(INDIRECT("H160")&gt;=INDIRECT("F160"),AA160=0,AB160=0,AC160=0,AF160=0),"Yes",IF(AND(INDIRECT("H160")&lt;INDIRECT("F160"),AA160=0,AB160=0,AC160=0,AF160=0),"No","N/A"))</f>
        <v>N/A</v>
      </c>
      <c r="J160" s="176" t="str">
        <f t="shared" ca="1" si="11"/>
        <v>No Error</v>
      </c>
      <c r="K160" s="176"/>
      <c r="L160" s="176"/>
      <c r="AA160" s="61">
        <f ca="1">COUNTBLANK(INDIRECT("C160"))</f>
        <v>1</v>
      </c>
      <c r="AB160" s="61">
        <f ca="1">COUNTBLANK(INDIRECT("D160"))</f>
        <v>1</v>
      </c>
      <c r="AC160" s="61">
        <f ca="1">COUNTBLANK(INDIRECT("E160"))</f>
        <v>1</v>
      </c>
      <c r="AD160" s="61">
        <f ca="1">COUNTBLANK(INDIRECT("F160"))</f>
        <v>1</v>
      </c>
      <c r="AE160" s="61">
        <f ca="1">COUNTBLANK(INDIRECT("G160"))</f>
        <v>1</v>
      </c>
      <c r="AF160" s="61">
        <f ca="1">COUNTBLANK(INDIRECT("H160"))</f>
        <v>1</v>
      </c>
      <c r="AG160" s="61">
        <f ca="1">COUNTBLANK(INDIRECT("B160"))</f>
        <v>1</v>
      </c>
    </row>
    <row r="161" spans="1:33" x14ac:dyDescent="0.25">
      <c r="A161" s="2">
        <v>133</v>
      </c>
      <c r="B161" s="63"/>
      <c r="C161" s="56"/>
      <c r="D161" s="56"/>
      <c r="E161" s="56"/>
      <c r="F161" s="56"/>
      <c r="G161" s="56"/>
      <c r="H161" s="56"/>
      <c r="I161" s="108" t="str">
        <f ca="1">IF(AND(INDIRECT("H161")&gt;=INDIRECT("F161"),AA161=0,AB161=0,AC161=0,AF161=0),"Yes",IF(AND(INDIRECT("H161")&lt;INDIRECT("F161"),AA161=0,AB161=0,AC161=0,AF161=0),"No","N/A"))</f>
        <v>N/A</v>
      </c>
      <c r="J161" s="176" t="str">
        <f t="shared" ca="1" si="11"/>
        <v>No Error</v>
      </c>
      <c r="K161" s="176"/>
      <c r="L161" s="176"/>
      <c r="AA161" s="61">
        <f ca="1">COUNTBLANK(INDIRECT("C161"))</f>
        <v>1</v>
      </c>
      <c r="AB161" s="61">
        <f ca="1">COUNTBLANK(INDIRECT("D161"))</f>
        <v>1</v>
      </c>
      <c r="AC161" s="61">
        <f ca="1">COUNTBLANK(INDIRECT("E161"))</f>
        <v>1</v>
      </c>
      <c r="AD161" s="61">
        <f ca="1">COUNTBLANK(INDIRECT("F161"))</f>
        <v>1</v>
      </c>
      <c r="AE161" s="61">
        <f ca="1">COUNTBLANK(INDIRECT("G161"))</f>
        <v>1</v>
      </c>
      <c r="AF161" s="61">
        <f ca="1">COUNTBLANK(INDIRECT("H161"))</f>
        <v>1</v>
      </c>
      <c r="AG161" s="61">
        <f ca="1">COUNTBLANK(INDIRECT("B161"))</f>
        <v>1</v>
      </c>
    </row>
    <row r="162" spans="1:33" x14ac:dyDescent="0.25">
      <c r="A162" s="2">
        <v>134</v>
      </c>
      <c r="B162" s="63"/>
      <c r="C162" s="56"/>
      <c r="D162" s="56"/>
      <c r="E162" s="56"/>
      <c r="F162" s="56"/>
      <c r="G162" s="56"/>
      <c r="H162" s="56"/>
      <c r="I162" s="108" t="str">
        <f ca="1">IF(AND(INDIRECT("H162")&gt;=INDIRECT("F162"),AA162=0,AB162=0,AC162=0,AF162=0),"Yes",IF(AND(INDIRECT("H162")&lt;INDIRECT("F162"),AA162=0,AB162=0,AC162=0,AF162=0),"No","N/A"))</f>
        <v>N/A</v>
      </c>
      <c r="J162" s="176" t="str">
        <f t="shared" ca="1" si="11"/>
        <v>No Error</v>
      </c>
      <c r="K162" s="176"/>
      <c r="L162" s="176"/>
      <c r="AA162" s="61">
        <f ca="1">COUNTBLANK(INDIRECT("C162"))</f>
        <v>1</v>
      </c>
      <c r="AB162" s="61">
        <f ca="1">COUNTBLANK(INDIRECT("D162"))</f>
        <v>1</v>
      </c>
      <c r="AC162" s="61">
        <f ca="1">COUNTBLANK(INDIRECT("E162"))</f>
        <v>1</v>
      </c>
      <c r="AD162" s="61">
        <f ca="1">COUNTBLANK(INDIRECT("F162"))</f>
        <v>1</v>
      </c>
      <c r="AE162" s="61">
        <f ca="1">COUNTBLANK(INDIRECT("G162"))</f>
        <v>1</v>
      </c>
      <c r="AF162" s="61">
        <f ca="1">COUNTBLANK(INDIRECT("H162"))</f>
        <v>1</v>
      </c>
      <c r="AG162" s="61">
        <f ca="1">COUNTBLANK(INDIRECT("B162"))</f>
        <v>1</v>
      </c>
    </row>
    <row r="163" spans="1:33" x14ac:dyDescent="0.25">
      <c r="A163" s="2">
        <v>135</v>
      </c>
      <c r="B163" s="63"/>
      <c r="C163" s="56"/>
      <c r="D163" s="56"/>
      <c r="E163" s="56"/>
      <c r="F163" s="56"/>
      <c r="G163" s="56"/>
      <c r="H163" s="56"/>
      <c r="I163" s="108" t="str">
        <f ca="1">IF(AND(INDIRECT("H163")&gt;=INDIRECT("F163"),AA163=0,AB163=0,AC163=0,AF163=0),"Yes",IF(AND(INDIRECT("H163")&lt;INDIRECT("F163"),AA163=0,AB163=0,AC163=0,AF163=0),"No","N/A"))</f>
        <v>N/A</v>
      </c>
      <c r="J163" s="176" t="str">
        <f t="shared" ca="1" si="11"/>
        <v>No Error</v>
      </c>
      <c r="K163" s="176"/>
      <c r="L163" s="176"/>
      <c r="AA163" s="61">
        <f ca="1">COUNTBLANK(INDIRECT("C163"))</f>
        <v>1</v>
      </c>
      <c r="AB163" s="61">
        <f ca="1">COUNTBLANK(INDIRECT("D163"))</f>
        <v>1</v>
      </c>
      <c r="AC163" s="61">
        <f ca="1">COUNTBLANK(INDIRECT("E163"))</f>
        <v>1</v>
      </c>
      <c r="AD163" s="61">
        <f ca="1">COUNTBLANK(INDIRECT("F163"))</f>
        <v>1</v>
      </c>
      <c r="AE163" s="61">
        <f ca="1">COUNTBLANK(INDIRECT("G163"))</f>
        <v>1</v>
      </c>
      <c r="AF163" s="61">
        <f ca="1">COUNTBLANK(INDIRECT("H163"))</f>
        <v>1</v>
      </c>
      <c r="AG163" s="61">
        <f ca="1">COUNTBLANK(INDIRECT("B163"))</f>
        <v>1</v>
      </c>
    </row>
    <row r="164" spans="1:33" x14ac:dyDescent="0.25">
      <c r="A164" s="2">
        <v>136</v>
      </c>
      <c r="B164" s="63"/>
      <c r="C164" s="56"/>
      <c r="D164" s="56"/>
      <c r="E164" s="56"/>
      <c r="F164" s="56"/>
      <c r="G164" s="56"/>
      <c r="H164" s="56"/>
      <c r="I164" s="108" t="str">
        <f ca="1">IF(AND(INDIRECT("H164")&gt;=INDIRECT("F164"),AA164=0,AB164=0,AC164=0,AF164=0),"Yes",IF(AND(INDIRECT("H164")&lt;INDIRECT("F164"),AA164=0,AB164=0,AC164=0,AF164=0),"No","N/A"))</f>
        <v>N/A</v>
      </c>
      <c r="J164" s="176" t="str">
        <f t="shared" ca="1" si="11"/>
        <v>No Error</v>
      </c>
      <c r="K164" s="176"/>
      <c r="L164" s="176"/>
      <c r="AA164" s="61">
        <f ca="1">COUNTBLANK(INDIRECT("C164"))</f>
        <v>1</v>
      </c>
      <c r="AB164" s="61">
        <f ca="1">COUNTBLANK(INDIRECT("D164"))</f>
        <v>1</v>
      </c>
      <c r="AC164" s="61">
        <f ca="1">COUNTBLANK(INDIRECT("E164"))</f>
        <v>1</v>
      </c>
      <c r="AD164" s="61">
        <f ca="1">COUNTBLANK(INDIRECT("F164"))</f>
        <v>1</v>
      </c>
      <c r="AE164" s="61">
        <f ca="1">COUNTBLANK(INDIRECT("G164"))</f>
        <v>1</v>
      </c>
      <c r="AF164" s="61">
        <f ca="1">COUNTBLANK(INDIRECT("H164"))</f>
        <v>1</v>
      </c>
      <c r="AG164" s="61">
        <f ca="1">COUNTBLANK(INDIRECT("B164"))</f>
        <v>1</v>
      </c>
    </row>
    <row r="165" spans="1:33" x14ac:dyDescent="0.25">
      <c r="A165" s="2">
        <v>137</v>
      </c>
      <c r="B165" s="63"/>
      <c r="C165" s="56"/>
      <c r="D165" s="56"/>
      <c r="E165" s="56"/>
      <c r="F165" s="56"/>
      <c r="G165" s="56"/>
      <c r="H165" s="56"/>
      <c r="I165" s="108" t="str">
        <f ca="1">IF(AND(INDIRECT("H165")&gt;=INDIRECT("F165"),AA165=0,AB165=0,AC165=0,AF165=0),"Yes",IF(AND(INDIRECT("H165")&lt;INDIRECT("F165"),AA165=0,AB165=0,AC165=0,AF165=0),"No","N/A"))</f>
        <v>N/A</v>
      </c>
      <c r="J165" s="176" t="str">
        <f t="shared" ca="1" si="11"/>
        <v>No Error</v>
      </c>
      <c r="K165" s="176"/>
      <c r="L165" s="176"/>
      <c r="AA165" s="61">
        <f ca="1">COUNTBLANK(INDIRECT("C165"))</f>
        <v>1</v>
      </c>
      <c r="AB165" s="61">
        <f ca="1">COUNTBLANK(INDIRECT("D165"))</f>
        <v>1</v>
      </c>
      <c r="AC165" s="61">
        <f ca="1">COUNTBLANK(INDIRECT("E165"))</f>
        <v>1</v>
      </c>
      <c r="AD165" s="61">
        <f ca="1">COUNTBLANK(INDIRECT("F165"))</f>
        <v>1</v>
      </c>
      <c r="AE165" s="61">
        <f ca="1">COUNTBLANK(INDIRECT("G165"))</f>
        <v>1</v>
      </c>
      <c r="AF165" s="61">
        <f ca="1">COUNTBLANK(INDIRECT("H165"))</f>
        <v>1</v>
      </c>
      <c r="AG165" s="61">
        <f ca="1">COUNTBLANK(INDIRECT("B165"))</f>
        <v>1</v>
      </c>
    </row>
    <row r="166" spans="1:33" x14ac:dyDescent="0.25">
      <c r="A166" s="2">
        <v>138</v>
      </c>
      <c r="B166" s="63"/>
      <c r="C166" s="56"/>
      <c r="D166" s="56"/>
      <c r="E166" s="56"/>
      <c r="F166" s="56"/>
      <c r="G166" s="56"/>
      <c r="H166" s="56"/>
      <c r="I166" s="108" t="str">
        <f ca="1">IF(AND(INDIRECT("H166")&gt;=INDIRECT("F166"),AA166=0,AB166=0,AC166=0,AF166=0),"Yes",IF(AND(INDIRECT("H166")&lt;INDIRECT("F166"),AA166=0,AB166=0,AC166=0,AF166=0),"No","N/A"))</f>
        <v>N/A</v>
      </c>
      <c r="J166" s="176" t="str">
        <f t="shared" ca="1" si="11"/>
        <v>No Error</v>
      </c>
      <c r="K166" s="176"/>
      <c r="L166" s="176"/>
      <c r="AA166" s="61">
        <f ca="1">COUNTBLANK(INDIRECT("C166"))</f>
        <v>1</v>
      </c>
      <c r="AB166" s="61">
        <f ca="1">COUNTBLANK(INDIRECT("D166"))</f>
        <v>1</v>
      </c>
      <c r="AC166" s="61">
        <f ca="1">COUNTBLANK(INDIRECT("E166"))</f>
        <v>1</v>
      </c>
      <c r="AD166" s="61">
        <f ca="1">COUNTBLANK(INDIRECT("F166"))</f>
        <v>1</v>
      </c>
      <c r="AE166" s="61">
        <f ca="1">COUNTBLANK(INDIRECT("G166"))</f>
        <v>1</v>
      </c>
      <c r="AF166" s="61">
        <f ca="1">COUNTBLANK(INDIRECT("H166"))</f>
        <v>1</v>
      </c>
      <c r="AG166" s="61">
        <f ca="1">COUNTBLANK(INDIRECT("B166"))</f>
        <v>1</v>
      </c>
    </row>
    <row r="167" spans="1:33" x14ac:dyDescent="0.25">
      <c r="A167" s="2">
        <v>139</v>
      </c>
      <c r="B167" s="63"/>
      <c r="C167" s="56"/>
      <c r="D167" s="56"/>
      <c r="E167" s="56"/>
      <c r="F167" s="56"/>
      <c r="G167" s="56"/>
      <c r="H167" s="56"/>
      <c r="I167" s="108" t="str">
        <f ca="1">IF(AND(INDIRECT("H167")&gt;=INDIRECT("F167"),AA167=0,AB167=0,AC167=0,AF167=0),"Yes",IF(AND(INDIRECT("H167")&lt;INDIRECT("F167"),AA167=0,AB167=0,AC167=0,AF167=0),"No","N/A"))</f>
        <v>N/A</v>
      </c>
      <c r="J167" s="176" t="str">
        <f t="shared" ca="1" si="11"/>
        <v>No Error</v>
      </c>
      <c r="K167" s="176"/>
      <c r="L167" s="176"/>
      <c r="AA167" s="61">
        <f ca="1">COUNTBLANK(INDIRECT("C167"))</f>
        <v>1</v>
      </c>
      <c r="AB167" s="61">
        <f ca="1">COUNTBLANK(INDIRECT("D167"))</f>
        <v>1</v>
      </c>
      <c r="AC167" s="61">
        <f ca="1">COUNTBLANK(INDIRECT("E167"))</f>
        <v>1</v>
      </c>
      <c r="AD167" s="61">
        <f ca="1">COUNTBLANK(INDIRECT("F167"))</f>
        <v>1</v>
      </c>
      <c r="AE167" s="61">
        <f ca="1">COUNTBLANK(INDIRECT("G167"))</f>
        <v>1</v>
      </c>
      <c r="AF167" s="61">
        <f ca="1">COUNTBLANK(INDIRECT("H167"))</f>
        <v>1</v>
      </c>
      <c r="AG167" s="61">
        <f ca="1">COUNTBLANK(INDIRECT("B167"))</f>
        <v>1</v>
      </c>
    </row>
    <row r="168" spans="1:33" x14ac:dyDescent="0.25">
      <c r="A168" s="2">
        <v>140</v>
      </c>
      <c r="B168" s="63"/>
      <c r="C168" s="56"/>
      <c r="D168" s="56"/>
      <c r="E168" s="56"/>
      <c r="F168" s="56"/>
      <c r="G168" s="56"/>
      <c r="H168" s="56"/>
      <c r="I168" s="108" t="str">
        <f ca="1">IF(AND(INDIRECT("H168")&gt;=INDIRECT("F168"),AA168=0,AB168=0,AC168=0,AF168=0),"Yes",IF(AND(INDIRECT("H168")&lt;INDIRECT("F168"),AA168=0,AB168=0,AC168=0,AF168=0),"No","N/A"))</f>
        <v>N/A</v>
      </c>
      <c r="J168" s="176" t="str">
        <f t="shared" ca="1" si="11"/>
        <v>No Error</v>
      </c>
      <c r="K168" s="176"/>
      <c r="L168" s="176"/>
      <c r="AA168" s="61">
        <f ca="1">COUNTBLANK(INDIRECT("C168"))</f>
        <v>1</v>
      </c>
      <c r="AB168" s="61">
        <f ca="1">COUNTBLANK(INDIRECT("D168"))</f>
        <v>1</v>
      </c>
      <c r="AC168" s="61">
        <f ca="1">COUNTBLANK(INDIRECT("E168"))</f>
        <v>1</v>
      </c>
      <c r="AD168" s="61">
        <f ca="1">COUNTBLANK(INDIRECT("F168"))</f>
        <v>1</v>
      </c>
      <c r="AE168" s="61">
        <f ca="1">COUNTBLANK(INDIRECT("G168"))</f>
        <v>1</v>
      </c>
      <c r="AF168" s="61">
        <f ca="1">COUNTBLANK(INDIRECT("H168"))</f>
        <v>1</v>
      </c>
      <c r="AG168" s="61">
        <f ca="1">COUNTBLANK(INDIRECT("B168"))</f>
        <v>1</v>
      </c>
    </row>
    <row r="169" spans="1:33" x14ac:dyDescent="0.25">
      <c r="A169" s="2">
        <v>141</v>
      </c>
      <c r="B169" s="63"/>
      <c r="C169" s="56"/>
      <c r="D169" s="56"/>
      <c r="E169" s="56"/>
      <c r="F169" s="56"/>
      <c r="G169" s="56"/>
      <c r="H169" s="56"/>
      <c r="I169" s="108" t="str">
        <f ca="1">IF(AND(INDIRECT("H169")&gt;=INDIRECT("F169"),AA169=0,AB169=0,AC169=0,AF169=0),"Yes",IF(AND(INDIRECT("H169")&lt;INDIRECT("F169"),AA169=0,AB169=0,AC169=0,AF169=0),"No","N/A"))</f>
        <v>N/A</v>
      </c>
      <c r="J169" s="176" t="str">
        <f t="shared" ca="1" si="11"/>
        <v>No Error</v>
      </c>
      <c r="K169" s="176"/>
      <c r="L169" s="176"/>
      <c r="AA169" s="61">
        <f ca="1">COUNTBLANK(INDIRECT("C169"))</f>
        <v>1</v>
      </c>
      <c r="AB169" s="61">
        <f ca="1">COUNTBLANK(INDIRECT("D169"))</f>
        <v>1</v>
      </c>
      <c r="AC169" s="61">
        <f ca="1">COUNTBLANK(INDIRECT("E169"))</f>
        <v>1</v>
      </c>
      <c r="AD169" s="61">
        <f ca="1">COUNTBLANK(INDIRECT("F169"))</f>
        <v>1</v>
      </c>
      <c r="AE169" s="61">
        <f ca="1">COUNTBLANK(INDIRECT("G169"))</f>
        <v>1</v>
      </c>
      <c r="AF169" s="61">
        <f ca="1">COUNTBLANK(INDIRECT("H169"))</f>
        <v>1</v>
      </c>
      <c r="AG169" s="61">
        <f ca="1">COUNTBLANK(INDIRECT("B169"))</f>
        <v>1</v>
      </c>
    </row>
    <row r="170" spans="1:33" x14ac:dyDescent="0.25">
      <c r="A170" s="2">
        <v>142</v>
      </c>
      <c r="B170" s="63"/>
      <c r="C170" s="56"/>
      <c r="D170" s="56"/>
      <c r="E170" s="56"/>
      <c r="F170" s="56"/>
      <c r="G170" s="56"/>
      <c r="H170" s="56"/>
      <c r="I170" s="108" t="str">
        <f ca="1">IF(AND(INDIRECT("H170")&gt;=INDIRECT("F170"),AA170=0,AB170=0,AC170=0,AF170=0),"Yes",IF(AND(INDIRECT("H170")&lt;INDIRECT("F170"),AA170=0,AB170=0,AC170=0,AF170=0),"No","N/A"))</f>
        <v>N/A</v>
      </c>
      <c r="J170" s="176" t="str">
        <f t="shared" ca="1" si="11"/>
        <v>No Error</v>
      </c>
      <c r="K170" s="176"/>
      <c r="L170" s="176"/>
      <c r="AA170" s="61">
        <f ca="1">COUNTBLANK(INDIRECT("C170"))</f>
        <v>1</v>
      </c>
      <c r="AB170" s="61">
        <f ca="1">COUNTBLANK(INDIRECT("D170"))</f>
        <v>1</v>
      </c>
      <c r="AC170" s="61">
        <f ca="1">COUNTBLANK(INDIRECT("E170"))</f>
        <v>1</v>
      </c>
      <c r="AD170" s="61">
        <f ca="1">COUNTBLANK(INDIRECT("F170"))</f>
        <v>1</v>
      </c>
      <c r="AE170" s="61">
        <f ca="1">COUNTBLANK(INDIRECT("G170"))</f>
        <v>1</v>
      </c>
      <c r="AF170" s="61">
        <f ca="1">COUNTBLANK(INDIRECT("H170"))</f>
        <v>1</v>
      </c>
      <c r="AG170" s="61">
        <f ca="1">COUNTBLANK(INDIRECT("B170"))</f>
        <v>1</v>
      </c>
    </row>
    <row r="171" spans="1:33" x14ac:dyDescent="0.25">
      <c r="A171" s="2">
        <v>143</v>
      </c>
      <c r="B171" s="63"/>
      <c r="C171" s="56"/>
      <c r="D171" s="56"/>
      <c r="E171" s="56"/>
      <c r="F171" s="56"/>
      <c r="G171" s="56"/>
      <c r="H171" s="56"/>
      <c r="I171" s="108" t="str">
        <f ca="1">IF(AND(INDIRECT("H171")&gt;=INDIRECT("F171"),AA171=0,AB171=0,AC171=0,AF171=0),"Yes",IF(AND(INDIRECT("H171")&lt;INDIRECT("F171"),AA171=0,AB171=0,AC171=0,AF171=0),"No","N/A"))</f>
        <v>N/A</v>
      </c>
      <c r="J171" s="176" t="str">
        <f t="shared" ca="1" si="11"/>
        <v>No Error</v>
      </c>
      <c r="K171" s="176"/>
      <c r="L171" s="176"/>
      <c r="AA171" s="61">
        <f ca="1">COUNTBLANK(INDIRECT("C171"))</f>
        <v>1</v>
      </c>
      <c r="AB171" s="61">
        <f ca="1">COUNTBLANK(INDIRECT("D171"))</f>
        <v>1</v>
      </c>
      <c r="AC171" s="61">
        <f ca="1">COUNTBLANK(INDIRECT("E171"))</f>
        <v>1</v>
      </c>
      <c r="AD171" s="61">
        <f ca="1">COUNTBLANK(INDIRECT("F171"))</f>
        <v>1</v>
      </c>
      <c r="AE171" s="61">
        <f ca="1">COUNTBLANK(INDIRECT("G171"))</f>
        <v>1</v>
      </c>
      <c r="AF171" s="61">
        <f ca="1">COUNTBLANK(INDIRECT("H171"))</f>
        <v>1</v>
      </c>
      <c r="AG171" s="61">
        <f ca="1">COUNTBLANK(INDIRECT("B171"))</f>
        <v>1</v>
      </c>
    </row>
    <row r="172" spans="1:33" x14ac:dyDescent="0.25">
      <c r="A172" s="2">
        <v>144</v>
      </c>
      <c r="B172" s="63"/>
      <c r="C172" s="56"/>
      <c r="D172" s="56"/>
      <c r="E172" s="56"/>
      <c r="F172" s="56"/>
      <c r="G172" s="56"/>
      <c r="H172" s="56"/>
      <c r="I172" s="108" t="str">
        <f ca="1">IF(AND(INDIRECT("H172")&gt;=INDIRECT("F172"),AA172=0,AB172=0,AC172=0,AF172=0),"Yes",IF(AND(INDIRECT("H172")&lt;INDIRECT("F172"),AA172=0,AB172=0,AC172=0,AF172=0),"No","N/A"))</f>
        <v>N/A</v>
      </c>
      <c r="J172" s="176" t="str">
        <f t="shared" ca="1" si="11"/>
        <v>No Error</v>
      </c>
      <c r="K172" s="176"/>
      <c r="L172" s="176"/>
      <c r="AA172" s="61">
        <f ca="1">COUNTBLANK(INDIRECT("C172"))</f>
        <v>1</v>
      </c>
      <c r="AB172" s="61">
        <f ca="1">COUNTBLANK(INDIRECT("D172"))</f>
        <v>1</v>
      </c>
      <c r="AC172" s="61">
        <f ca="1">COUNTBLANK(INDIRECT("E172"))</f>
        <v>1</v>
      </c>
      <c r="AD172" s="61">
        <f ca="1">COUNTBLANK(INDIRECT("F172"))</f>
        <v>1</v>
      </c>
      <c r="AE172" s="61">
        <f ca="1">COUNTBLANK(INDIRECT("G172"))</f>
        <v>1</v>
      </c>
      <c r="AF172" s="61">
        <f ca="1">COUNTBLANK(INDIRECT("H172"))</f>
        <v>1</v>
      </c>
      <c r="AG172" s="61">
        <f ca="1">COUNTBLANK(INDIRECT("B172"))</f>
        <v>1</v>
      </c>
    </row>
    <row r="173" spans="1:33" x14ac:dyDescent="0.25">
      <c r="A173" s="2">
        <v>145</v>
      </c>
      <c r="B173" s="63"/>
      <c r="C173" s="56"/>
      <c r="D173" s="56"/>
      <c r="E173" s="56"/>
      <c r="F173" s="56"/>
      <c r="G173" s="56"/>
      <c r="H173" s="56"/>
      <c r="I173" s="108" t="str">
        <f ca="1">IF(AND(INDIRECT("H173")&gt;=INDIRECT("F173"),AA173=0,AB173=0,AC173=0,AF173=0),"Yes",IF(AND(INDIRECT("H173")&lt;INDIRECT("F173"),AA173=0,AB173=0,AC173=0,AF173=0),"No","N/A"))</f>
        <v>N/A</v>
      </c>
      <c r="J173" s="176" t="str">
        <f t="shared" ca="1" si="11"/>
        <v>No Error</v>
      </c>
      <c r="K173" s="176"/>
      <c r="L173" s="176"/>
      <c r="AA173" s="61">
        <f ca="1">COUNTBLANK(INDIRECT("C173"))</f>
        <v>1</v>
      </c>
      <c r="AB173" s="61">
        <f ca="1">COUNTBLANK(INDIRECT("D173"))</f>
        <v>1</v>
      </c>
      <c r="AC173" s="61">
        <f ca="1">COUNTBLANK(INDIRECT("E173"))</f>
        <v>1</v>
      </c>
      <c r="AD173" s="61">
        <f ca="1">COUNTBLANK(INDIRECT("F173"))</f>
        <v>1</v>
      </c>
      <c r="AE173" s="61">
        <f ca="1">COUNTBLANK(INDIRECT("G173"))</f>
        <v>1</v>
      </c>
      <c r="AF173" s="61">
        <f ca="1">COUNTBLANK(INDIRECT("H173"))</f>
        <v>1</v>
      </c>
      <c r="AG173" s="61">
        <f ca="1">COUNTBLANK(INDIRECT("B173"))</f>
        <v>1</v>
      </c>
    </row>
    <row r="174" spans="1:33" x14ac:dyDescent="0.25">
      <c r="A174" s="2">
        <v>146</v>
      </c>
      <c r="B174" s="63"/>
      <c r="C174" s="56"/>
      <c r="D174" s="56"/>
      <c r="E174" s="56"/>
      <c r="F174" s="56"/>
      <c r="G174" s="56"/>
      <c r="H174" s="56"/>
      <c r="I174" s="108" t="str">
        <f ca="1">IF(AND(INDIRECT("H174")&gt;=INDIRECT("F174"),AA174=0,AB174=0,AC174=0,AF174=0),"Yes",IF(AND(INDIRECT("H174")&lt;INDIRECT("F174"),AA174=0,AB174=0,AC174=0,AF174=0),"No","N/A"))</f>
        <v>N/A</v>
      </c>
      <c r="J174" s="176" t="str">
        <f t="shared" ca="1" si="11"/>
        <v>No Error</v>
      </c>
      <c r="K174" s="176"/>
      <c r="L174" s="176"/>
      <c r="AA174" s="61">
        <f ca="1">COUNTBLANK(INDIRECT("C174"))</f>
        <v>1</v>
      </c>
      <c r="AB174" s="61">
        <f ca="1">COUNTBLANK(INDIRECT("D174"))</f>
        <v>1</v>
      </c>
      <c r="AC174" s="61">
        <f ca="1">COUNTBLANK(INDIRECT("E174"))</f>
        <v>1</v>
      </c>
      <c r="AD174" s="61">
        <f ca="1">COUNTBLANK(INDIRECT("F174"))</f>
        <v>1</v>
      </c>
      <c r="AE174" s="61">
        <f ca="1">COUNTBLANK(INDIRECT("G174"))</f>
        <v>1</v>
      </c>
      <c r="AF174" s="61">
        <f ca="1">COUNTBLANK(INDIRECT("H174"))</f>
        <v>1</v>
      </c>
      <c r="AG174" s="61">
        <f ca="1">COUNTBLANK(INDIRECT("B174"))</f>
        <v>1</v>
      </c>
    </row>
    <row r="175" spans="1:33" x14ac:dyDescent="0.25">
      <c r="A175" s="2">
        <v>147</v>
      </c>
      <c r="B175" s="63"/>
      <c r="C175" s="56"/>
      <c r="D175" s="56"/>
      <c r="E175" s="56"/>
      <c r="F175" s="56"/>
      <c r="G175" s="56"/>
      <c r="H175" s="56"/>
      <c r="I175" s="108" t="str">
        <f ca="1">IF(AND(INDIRECT("H175")&gt;=INDIRECT("F175"),AA175=0,AB175=0,AC175=0,AF175=0),"Yes",IF(AND(INDIRECT("H175")&lt;INDIRECT("F175"),AA175=0,AB175=0,AC175=0,AF175=0),"No","N/A"))</f>
        <v>N/A</v>
      </c>
      <c r="J175" s="176" t="str">
        <f t="shared" ca="1" si="11"/>
        <v>No Error</v>
      </c>
      <c r="K175" s="176"/>
      <c r="L175" s="176"/>
      <c r="AA175" s="61">
        <f ca="1">COUNTBLANK(INDIRECT("C175"))</f>
        <v>1</v>
      </c>
      <c r="AB175" s="61">
        <f ca="1">COUNTBLANK(INDIRECT("D175"))</f>
        <v>1</v>
      </c>
      <c r="AC175" s="61">
        <f ca="1">COUNTBLANK(INDIRECT("E175"))</f>
        <v>1</v>
      </c>
      <c r="AD175" s="61">
        <f ca="1">COUNTBLANK(INDIRECT("F175"))</f>
        <v>1</v>
      </c>
      <c r="AE175" s="61">
        <f ca="1">COUNTBLANK(INDIRECT("G175"))</f>
        <v>1</v>
      </c>
      <c r="AF175" s="61">
        <f ca="1">COUNTBLANK(INDIRECT("H175"))</f>
        <v>1</v>
      </c>
      <c r="AG175" s="61">
        <f ca="1">COUNTBLANK(INDIRECT("B175"))</f>
        <v>1</v>
      </c>
    </row>
    <row r="176" spans="1:33" x14ac:dyDescent="0.25">
      <c r="A176" s="2">
        <v>148</v>
      </c>
      <c r="B176" s="63"/>
      <c r="C176" s="56"/>
      <c r="D176" s="56"/>
      <c r="E176" s="56"/>
      <c r="F176" s="56"/>
      <c r="G176" s="56"/>
      <c r="H176" s="56"/>
      <c r="I176" s="108" t="str">
        <f ca="1">IF(AND(INDIRECT("H176")&gt;=INDIRECT("F176"),AA176=0,AB176=0,AC176=0,AF176=0),"Yes",IF(AND(INDIRECT("H176")&lt;INDIRECT("F176"),AA176=0,AB176=0,AC176=0,AF176=0),"No","N/A"))</f>
        <v>N/A</v>
      </c>
      <c r="J176" s="176" t="str">
        <f t="shared" ca="1" si="11"/>
        <v>No Error</v>
      </c>
      <c r="K176" s="176"/>
      <c r="L176" s="176"/>
      <c r="AA176" s="61">
        <f ca="1">COUNTBLANK(INDIRECT("C176"))</f>
        <v>1</v>
      </c>
      <c r="AB176" s="61">
        <f ca="1">COUNTBLANK(INDIRECT("D176"))</f>
        <v>1</v>
      </c>
      <c r="AC176" s="61">
        <f ca="1">COUNTBLANK(INDIRECT("E176"))</f>
        <v>1</v>
      </c>
      <c r="AD176" s="61">
        <f ca="1">COUNTBLANK(INDIRECT("F176"))</f>
        <v>1</v>
      </c>
      <c r="AE176" s="61">
        <f ca="1">COUNTBLANK(INDIRECT("G176"))</f>
        <v>1</v>
      </c>
      <c r="AF176" s="61">
        <f ca="1">COUNTBLANK(INDIRECT("H176"))</f>
        <v>1</v>
      </c>
      <c r="AG176" s="61">
        <f ca="1">COUNTBLANK(INDIRECT("B176"))</f>
        <v>1</v>
      </c>
    </row>
    <row r="177" spans="1:33" x14ac:dyDescent="0.25">
      <c r="A177" s="2">
        <v>149</v>
      </c>
      <c r="B177" s="63"/>
      <c r="C177" s="56"/>
      <c r="D177" s="56"/>
      <c r="E177" s="56"/>
      <c r="F177" s="56"/>
      <c r="G177" s="56"/>
      <c r="H177" s="56"/>
      <c r="I177" s="108" t="str">
        <f ca="1">IF(AND(INDIRECT("H177")&gt;=INDIRECT("F177"),AA177=0,AB177=0,AC177=0,AF177=0),"Yes",IF(AND(INDIRECT("H177")&lt;INDIRECT("F177"),AA177=0,AB177=0,AC177=0,AF177=0),"No","N/A"))</f>
        <v>N/A</v>
      </c>
      <c r="J177" s="176" t="str">
        <f t="shared" ca="1" si="11"/>
        <v>No Error</v>
      </c>
      <c r="K177" s="176"/>
      <c r="L177" s="176"/>
      <c r="AA177" s="61">
        <f ca="1">COUNTBLANK(INDIRECT("C177"))</f>
        <v>1</v>
      </c>
      <c r="AB177" s="61">
        <f ca="1">COUNTBLANK(INDIRECT("D177"))</f>
        <v>1</v>
      </c>
      <c r="AC177" s="61">
        <f ca="1">COUNTBLANK(INDIRECT("E177"))</f>
        <v>1</v>
      </c>
      <c r="AD177" s="61">
        <f ca="1">COUNTBLANK(INDIRECT("F177"))</f>
        <v>1</v>
      </c>
      <c r="AE177" s="61">
        <f ca="1">COUNTBLANK(INDIRECT("G177"))</f>
        <v>1</v>
      </c>
      <c r="AF177" s="61">
        <f ca="1">COUNTBLANK(INDIRECT("H177"))</f>
        <v>1</v>
      </c>
      <c r="AG177" s="61">
        <f ca="1">COUNTBLANK(INDIRECT("B177"))</f>
        <v>1</v>
      </c>
    </row>
    <row r="178" spans="1:33" x14ac:dyDescent="0.25">
      <c r="A178" s="2">
        <v>150</v>
      </c>
      <c r="B178" s="63"/>
      <c r="C178" s="56"/>
      <c r="D178" s="56"/>
      <c r="E178" s="56"/>
      <c r="F178" s="56"/>
      <c r="G178" s="56"/>
      <c r="H178" s="56"/>
      <c r="I178" s="108" t="str">
        <f ca="1">IF(AND(INDIRECT("H178")&gt;=INDIRECT("F178"),AA178=0,AB178=0,AC178=0,AF178=0),"Yes",IF(AND(INDIRECT("H178")&lt;INDIRECT("F178"),AA178=0,AB178=0,AC178=0,AF178=0),"No","N/A"))</f>
        <v>N/A</v>
      </c>
      <c r="J178" s="176" t="str">
        <f t="shared" ca="1" si="11"/>
        <v>No Error</v>
      </c>
      <c r="K178" s="176"/>
      <c r="L178" s="176"/>
      <c r="AA178" s="61">
        <f ca="1">COUNTBLANK(INDIRECT("C178"))</f>
        <v>1</v>
      </c>
      <c r="AB178" s="61">
        <f ca="1">COUNTBLANK(INDIRECT("D178"))</f>
        <v>1</v>
      </c>
      <c r="AC178" s="61">
        <f ca="1">COUNTBLANK(INDIRECT("E178"))</f>
        <v>1</v>
      </c>
      <c r="AD178" s="61">
        <f ca="1">COUNTBLANK(INDIRECT("F178"))</f>
        <v>1</v>
      </c>
      <c r="AE178" s="61">
        <f ca="1">COUNTBLANK(INDIRECT("G178"))</f>
        <v>1</v>
      </c>
      <c r="AF178" s="61">
        <f ca="1">COUNTBLANK(INDIRECT("H178"))</f>
        <v>1</v>
      </c>
      <c r="AG178" s="61">
        <f ca="1">COUNTBLANK(INDIRECT("B178"))</f>
        <v>1</v>
      </c>
    </row>
    <row r="179" spans="1:33" ht="18.75" x14ac:dyDescent="0.3">
      <c r="B179" s="19" t="s">
        <v>14</v>
      </c>
      <c r="C179" s="19" t="s">
        <v>39</v>
      </c>
      <c r="D179" s="40" t="s">
        <v>40</v>
      </c>
      <c r="E179" s="40" t="s">
        <v>41</v>
      </c>
      <c r="F179" s="40" t="s">
        <v>42</v>
      </c>
      <c r="G179" s="40" t="s">
        <v>43</v>
      </c>
      <c r="H179" s="40" t="s">
        <v>44</v>
      </c>
      <c r="I179" s="40" t="s">
        <v>16</v>
      </c>
      <c r="J179" s="175" t="s">
        <v>187</v>
      </c>
      <c r="K179" s="175"/>
      <c r="L179" s="175"/>
      <c r="M179" s="13"/>
      <c r="N179" s="13"/>
      <c r="AA179" s="61"/>
      <c r="AB179" s="61"/>
      <c r="AC179" s="61"/>
      <c r="AD179" s="61"/>
      <c r="AE179" s="61"/>
      <c r="AF179" s="61"/>
      <c r="AG179" s="61"/>
    </row>
    <row r="180" spans="1:33" ht="21" x14ac:dyDescent="0.25">
      <c r="B180" s="179" t="s">
        <v>55</v>
      </c>
      <c r="C180" s="179"/>
      <c r="D180" s="179"/>
      <c r="E180" s="179"/>
      <c r="F180" s="179"/>
      <c r="G180" s="179"/>
      <c r="H180" s="179"/>
      <c r="I180" s="179"/>
      <c r="J180" s="45"/>
      <c r="K180" s="45"/>
      <c r="L180" s="45"/>
      <c r="M180" s="45"/>
      <c r="N180" s="43"/>
      <c r="AA180" s="61"/>
      <c r="AB180" s="61"/>
      <c r="AC180" s="61"/>
      <c r="AD180" s="61"/>
      <c r="AE180" s="61"/>
      <c r="AF180" s="61"/>
      <c r="AG180" s="61"/>
    </row>
    <row r="181" spans="1:33" x14ac:dyDescent="0.25">
      <c r="A181" s="2">
        <v>1</v>
      </c>
      <c r="B181" s="63"/>
      <c r="C181" s="56"/>
      <c r="D181" s="56"/>
      <c r="E181" s="56"/>
      <c r="F181" s="56"/>
      <c r="G181" s="56"/>
      <c r="H181" s="56"/>
      <c r="I181" s="108" t="str">
        <f ca="1">IF(AND(INDIRECT("H181")&gt;=INDIRECT("F181"),AA181=0,AB181=0,AC181=0,AF181=0),"Yes",IF(AND(INDIRECT("H181")&lt;INDIRECT("F181"),AA181=0,AB181=0,AC181=0,AF181=0),"No","N/A"))</f>
        <v>N/A</v>
      </c>
      <c r="J181" s="174" t="str">
        <f t="shared" ref="J181" ca="1" si="12">IF(AND(AF181=0,AG181=0,AA181=0,AB181=0,AC181=0,AD181=0),"No Error",IF(AND(AF181=1,AG181=1,AA181=1,AB181=1,AC181=1,AD181=1),"No Error","Please supply all information"))</f>
        <v>No Error</v>
      </c>
      <c r="K181" s="174"/>
      <c r="L181" s="174"/>
      <c r="AA181" s="61">
        <f ca="1">COUNTBLANK(INDIRECT("C181"))</f>
        <v>1</v>
      </c>
      <c r="AB181" s="61">
        <f ca="1">COUNTBLANK(INDIRECT("D181"))</f>
        <v>1</v>
      </c>
      <c r="AC181" s="61">
        <f ca="1">COUNTBLANK(INDIRECT("e181"))</f>
        <v>1</v>
      </c>
      <c r="AD181" s="61">
        <f ca="1">COUNTBLANK(INDIRECT("f181"))</f>
        <v>1</v>
      </c>
      <c r="AE181" s="61">
        <f ca="1">COUNTBLANK(INDIRECT("g181"))</f>
        <v>1</v>
      </c>
      <c r="AF181" s="61">
        <f ca="1">COUNTBLANK(INDIRECT("h181"))</f>
        <v>1</v>
      </c>
      <c r="AG181" s="61">
        <f ca="1">COUNTBLANK(INDIRECT("b181"))</f>
        <v>1</v>
      </c>
    </row>
    <row r="182" spans="1:33" x14ac:dyDescent="0.25">
      <c r="A182" s="2">
        <v>2</v>
      </c>
      <c r="B182" s="63"/>
      <c r="C182" s="56"/>
      <c r="D182" s="56"/>
      <c r="E182" s="56"/>
      <c r="F182" s="56"/>
      <c r="G182" s="56"/>
      <c r="H182" s="56"/>
      <c r="I182" s="108" t="str">
        <f ca="1">IF(AND(INDIRECT("H182")&gt;=INDIRECT("F182"),AA182=0,AB182=0,AC182=0,AF182=0),"Yes",IF(AND(INDIRECT("H182")&lt;INDIRECT("F182"),AA182=0,AB182=0,AC182=0,AF182=0),"No","N/A"))</f>
        <v>N/A</v>
      </c>
      <c r="J182" s="174" t="str">
        <f t="shared" ref="J182:J205" ca="1" si="13">IF(AND(AF182=0,AG182=0,AA182=0,AB182=0,AC182=0,AD182=0),"No Error",IF(AND(AF182=1,AG182=1,AA182=1,AB182=1,AC182=1,AD182=1),"No Error","Please supply all information"))</f>
        <v>No Error</v>
      </c>
      <c r="K182" s="174"/>
      <c r="L182" s="174"/>
      <c r="AA182" s="61">
        <f ca="1">COUNTBLANK(INDIRECT("C182"))</f>
        <v>1</v>
      </c>
      <c r="AB182" s="61">
        <f ca="1">COUNTBLANK(INDIRECT("D182"))</f>
        <v>1</v>
      </c>
      <c r="AC182" s="61">
        <f ca="1">COUNTBLANK(INDIRECT("e182"))</f>
        <v>1</v>
      </c>
      <c r="AD182" s="61">
        <f ca="1">COUNTBLANK(INDIRECT("f182"))</f>
        <v>1</v>
      </c>
      <c r="AE182" s="61">
        <f ca="1">COUNTBLANK(INDIRECT("g182"))</f>
        <v>1</v>
      </c>
      <c r="AF182" s="61">
        <f ca="1">COUNTBLANK(INDIRECT("h182"))</f>
        <v>1</v>
      </c>
      <c r="AG182" s="61">
        <f ca="1">COUNTBLANK(INDIRECT("b182"))</f>
        <v>1</v>
      </c>
    </row>
    <row r="183" spans="1:33" x14ac:dyDescent="0.25">
      <c r="A183" s="2">
        <v>3</v>
      </c>
      <c r="B183" s="63"/>
      <c r="C183" s="56"/>
      <c r="D183" s="56"/>
      <c r="E183" s="56"/>
      <c r="F183" s="56"/>
      <c r="G183" s="56"/>
      <c r="H183" s="56"/>
      <c r="I183" s="108" t="str">
        <f ca="1">IF(AND(INDIRECT("H183")&gt;=INDIRECT("F183"),AA183=0,AB183=0,AC183=0,AF183=0),"Yes",IF(AND(INDIRECT("H183")&lt;INDIRECT("F183"),AA183=0,AB183=0,AC183=0,AF183=0),"No","N/A"))</f>
        <v>N/A</v>
      </c>
      <c r="J183" s="174" t="str">
        <f t="shared" ca="1" si="13"/>
        <v>No Error</v>
      </c>
      <c r="K183" s="174"/>
      <c r="L183" s="174"/>
      <c r="AA183" s="61">
        <f ca="1">COUNTBLANK(INDIRECT("C183"))</f>
        <v>1</v>
      </c>
      <c r="AB183" s="61">
        <f ca="1">COUNTBLANK(INDIRECT("D183"))</f>
        <v>1</v>
      </c>
      <c r="AC183" s="61">
        <f ca="1">COUNTBLANK(INDIRECT("e183"))</f>
        <v>1</v>
      </c>
      <c r="AD183" s="61">
        <f ca="1">COUNTBLANK(INDIRECT("f183"))</f>
        <v>1</v>
      </c>
      <c r="AE183" s="61">
        <f ca="1">COUNTBLANK(INDIRECT("g183"))</f>
        <v>1</v>
      </c>
      <c r="AF183" s="61">
        <f ca="1">COUNTBLANK(INDIRECT("h183"))</f>
        <v>1</v>
      </c>
      <c r="AG183" s="61">
        <f ca="1">COUNTBLANK(INDIRECT("b183"))</f>
        <v>1</v>
      </c>
    </row>
    <row r="184" spans="1:33" x14ac:dyDescent="0.25">
      <c r="A184" s="2">
        <v>4</v>
      </c>
      <c r="B184" s="63"/>
      <c r="C184" s="56"/>
      <c r="D184" s="56"/>
      <c r="E184" s="56"/>
      <c r="F184" s="56"/>
      <c r="G184" s="56"/>
      <c r="H184" s="56"/>
      <c r="I184" s="108" t="str">
        <f ca="1">IF(AND(INDIRECT("H184")&gt;=INDIRECT("F184"),AA184=0,AB184=0,AC184=0,AF184=0),"Yes",IF(AND(INDIRECT("H184")&lt;INDIRECT("F184"),AA184=0,AB184=0,AC184=0,AF184=0),"No","N/A"))</f>
        <v>N/A</v>
      </c>
      <c r="J184" s="174" t="str">
        <f t="shared" ca="1" si="13"/>
        <v>No Error</v>
      </c>
      <c r="K184" s="174"/>
      <c r="L184" s="174"/>
      <c r="AA184" s="61">
        <f ca="1">COUNTBLANK(INDIRECT("C184"))</f>
        <v>1</v>
      </c>
      <c r="AB184" s="61">
        <f ca="1">COUNTBLANK(INDIRECT("D184"))</f>
        <v>1</v>
      </c>
      <c r="AC184" s="61">
        <f ca="1">COUNTBLANK(INDIRECT("e184"))</f>
        <v>1</v>
      </c>
      <c r="AD184" s="61">
        <f ca="1">COUNTBLANK(INDIRECT("f184"))</f>
        <v>1</v>
      </c>
      <c r="AE184" s="61">
        <f ca="1">COUNTBLANK(INDIRECT("g184"))</f>
        <v>1</v>
      </c>
      <c r="AF184" s="61">
        <f ca="1">COUNTBLANK(INDIRECT("h184"))</f>
        <v>1</v>
      </c>
      <c r="AG184" s="61">
        <f ca="1">COUNTBLANK(INDIRECT("b184"))</f>
        <v>1</v>
      </c>
    </row>
    <row r="185" spans="1:33" x14ac:dyDescent="0.25">
      <c r="A185" s="2">
        <v>5</v>
      </c>
      <c r="B185" s="63"/>
      <c r="C185" s="56"/>
      <c r="D185" s="56"/>
      <c r="E185" s="56"/>
      <c r="F185" s="56"/>
      <c r="G185" s="56"/>
      <c r="H185" s="56"/>
      <c r="I185" s="108" t="str">
        <f ca="1">IF(AND(INDIRECT("H185")&gt;=INDIRECT("F185"),AA185=0,AB185=0,AC185=0,AF185=0),"Yes",IF(AND(INDIRECT("H185")&lt;INDIRECT("F185"),AA185=0,AB185=0,AC185=0,AF185=0),"No","N/A"))</f>
        <v>N/A</v>
      </c>
      <c r="J185" s="174" t="str">
        <f t="shared" ca="1" si="13"/>
        <v>No Error</v>
      </c>
      <c r="K185" s="174"/>
      <c r="L185" s="174"/>
      <c r="AA185" s="61">
        <f ca="1">COUNTBLANK(INDIRECT("C185"))</f>
        <v>1</v>
      </c>
      <c r="AB185" s="61">
        <f ca="1">COUNTBLANK(INDIRECT("D185"))</f>
        <v>1</v>
      </c>
      <c r="AC185" s="61">
        <f ca="1">COUNTBLANK(INDIRECT("e185"))</f>
        <v>1</v>
      </c>
      <c r="AD185" s="61">
        <f ca="1">COUNTBLANK(INDIRECT("f185"))</f>
        <v>1</v>
      </c>
      <c r="AE185" s="61">
        <f ca="1">COUNTBLANK(INDIRECT("g185"))</f>
        <v>1</v>
      </c>
      <c r="AF185" s="61">
        <f ca="1">COUNTBLANK(INDIRECT("h185"))</f>
        <v>1</v>
      </c>
      <c r="AG185" s="61">
        <f ca="1">COUNTBLANK(INDIRECT("b185"))</f>
        <v>1</v>
      </c>
    </row>
    <row r="186" spans="1:33" x14ac:dyDescent="0.25">
      <c r="A186" s="2">
        <v>6</v>
      </c>
      <c r="B186" s="63"/>
      <c r="C186" s="56"/>
      <c r="D186" s="56"/>
      <c r="E186" s="56"/>
      <c r="F186" s="56"/>
      <c r="G186" s="56"/>
      <c r="H186" s="56"/>
      <c r="I186" s="108" t="str">
        <f ca="1">IF(AND(INDIRECT("H186")&gt;=INDIRECT("F186"),AA186=0,AB186=0,AC186=0,AF186=0),"Yes",IF(AND(INDIRECT("H186")&lt;INDIRECT("F186"),AA186=0,AB186=0,AC186=0,AF186=0),"No","N/A"))</f>
        <v>N/A</v>
      </c>
      <c r="J186" s="174" t="str">
        <f t="shared" ca="1" si="13"/>
        <v>No Error</v>
      </c>
      <c r="K186" s="174"/>
      <c r="L186" s="174"/>
      <c r="AA186" s="61">
        <f ca="1">COUNTBLANK(INDIRECT("C186"))</f>
        <v>1</v>
      </c>
      <c r="AB186" s="61">
        <f ca="1">COUNTBLANK(INDIRECT("D186"))</f>
        <v>1</v>
      </c>
      <c r="AC186" s="61">
        <f ca="1">COUNTBLANK(INDIRECT("e186"))</f>
        <v>1</v>
      </c>
      <c r="AD186" s="61">
        <f ca="1">COUNTBLANK(INDIRECT("f186"))</f>
        <v>1</v>
      </c>
      <c r="AE186" s="61">
        <f ca="1">COUNTBLANK(INDIRECT("g186"))</f>
        <v>1</v>
      </c>
      <c r="AF186" s="61">
        <f ca="1">COUNTBLANK(INDIRECT("h186"))</f>
        <v>1</v>
      </c>
      <c r="AG186" s="61">
        <f ca="1">COUNTBLANK(INDIRECT("b186"))</f>
        <v>1</v>
      </c>
    </row>
    <row r="187" spans="1:33" x14ac:dyDescent="0.25">
      <c r="A187" s="2">
        <v>7</v>
      </c>
      <c r="B187" s="63"/>
      <c r="C187" s="56"/>
      <c r="D187" s="56"/>
      <c r="E187" s="56"/>
      <c r="F187" s="56"/>
      <c r="G187" s="56"/>
      <c r="H187" s="56"/>
      <c r="I187" s="108" t="str">
        <f ca="1">IF(AND(INDIRECT("H187")&gt;=INDIRECT("F187"),AA187=0,AB187=0,AC187=0,AF187=0),"Yes",IF(AND(INDIRECT("H187")&lt;INDIRECT("F187"),AA187=0,AB187=0,AC187=0,AF187=0),"No","N/A"))</f>
        <v>N/A</v>
      </c>
      <c r="J187" s="174" t="str">
        <f t="shared" ca="1" si="13"/>
        <v>No Error</v>
      </c>
      <c r="K187" s="174"/>
      <c r="L187" s="174"/>
      <c r="AA187" s="61">
        <f ca="1">COUNTBLANK(INDIRECT("C187"))</f>
        <v>1</v>
      </c>
      <c r="AB187" s="61">
        <f ca="1">COUNTBLANK(INDIRECT("D187"))</f>
        <v>1</v>
      </c>
      <c r="AC187" s="61">
        <f ca="1">COUNTBLANK(INDIRECT("e187"))</f>
        <v>1</v>
      </c>
      <c r="AD187" s="61">
        <f ca="1">COUNTBLANK(INDIRECT("f187"))</f>
        <v>1</v>
      </c>
      <c r="AE187" s="61">
        <f ca="1">COUNTBLANK(INDIRECT("g187"))</f>
        <v>1</v>
      </c>
      <c r="AF187" s="61">
        <f ca="1">COUNTBLANK(INDIRECT("h187"))</f>
        <v>1</v>
      </c>
      <c r="AG187" s="61">
        <f ca="1">COUNTBLANK(INDIRECT("b187"))</f>
        <v>1</v>
      </c>
    </row>
    <row r="188" spans="1:33" x14ac:dyDescent="0.25">
      <c r="A188" s="2">
        <v>8</v>
      </c>
      <c r="B188" s="63"/>
      <c r="C188" s="56"/>
      <c r="D188" s="56"/>
      <c r="E188" s="56"/>
      <c r="F188" s="56"/>
      <c r="G188" s="56"/>
      <c r="H188" s="56"/>
      <c r="I188" s="108" t="str">
        <f ca="1">IF(AND(INDIRECT("H188")&gt;=INDIRECT("F188"),AA188=0,AB188=0,AC188=0,AF188=0),"Yes",IF(AND(INDIRECT("H188")&lt;INDIRECT("F188"),AA188=0,AB188=0,AC188=0,AF188=0),"No","N/A"))</f>
        <v>N/A</v>
      </c>
      <c r="J188" s="174" t="str">
        <f t="shared" ca="1" si="13"/>
        <v>No Error</v>
      </c>
      <c r="K188" s="174"/>
      <c r="L188" s="174"/>
      <c r="AA188" s="61">
        <f ca="1">COUNTBLANK(INDIRECT("C188"))</f>
        <v>1</v>
      </c>
      <c r="AB188" s="61">
        <f ca="1">COUNTBLANK(INDIRECT("D188"))</f>
        <v>1</v>
      </c>
      <c r="AC188" s="61">
        <f ca="1">COUNTBLANK(INDIRECT("e188"))</f>
        <v>1</v>
      </c>
      <c r="AD188" s="61">
        <f ca="1">COUNTBLANK(INDIRECT("f188"))</f>
        <v>1</v>
      </c>
      <c r="AE188" s="61">
        <f ca="1">COUNTBLANK(INDIRECT("g188"))</f>
        <v>1</v>
      </c>
      <c r="AF188" s="61">
        <f ca="1">COUNTBLANK(INDIRECT("h188"))</f>
        <v>1</v>
      </c>
      <c r="AG188" s="61">
        <f ca="1">COUNTBLANK(INDIRECT("b188"))</f>
        <v>1</v>
      </c>
    </row>
    <row r="189" spans="1:33" x14ac:dyDescent="0.25">
      <c r="A189" s="2">
        <v>9</v>
      </c>
      <c r="B189" s="63"/>
      <c r="C189" s="56"/>
      <c r="D189" s="56"/>
      <c r="E189" s="56"/>
      <c r="F189" s="56"/>
      <c r="G189" s="56"/>
      <c r="H189" s="56"/>
      <c r="I189" s="108" t="str">
        <f ca="1">IF(AND(INDIRECT("H189")&gt;=INDIRECT("F189"),AA189=0,AB189=0,AC189=0,AF189=0),"Yes",IF(AND(INDIRECT("H189")&lt;INDIRECT("F189"),AA189=0,AB189=0,AC189=0,AF189=0),"No","N/A"))</f>
        <v>N/A</v>
      </c>
      <c r="J189" s="174" t="str">
        <f t="shared" ca="1" si="13"/>
        <v>No Error</v>
      </c>
      <c r="K189" s="174"/>
      <c r="L189" s="174"/>
      <c r="AA189" s="61">
        <f ca="1">COUNTBLANK(INDIRECT("C189"))</f>
        <v>1</v>
      </c>
      <c r="AB189" s="61">
        <f ca="1">COUNTBLANK(INDIRECT("D189"))</f>
        <v>1</v>
      </c>
      <c r="AC189" s="61">
        <f ca="1">COUNTBLANK(INDIRECT("e189"))</f>
        <v>1</v>
      </c>
      <c r="AD189" s="61">
        <f ca="1">COUNTBLANK(INDIRECT("f189"))</f>
        <v>1</v>
      </c>
      <c r="AE189" s="61">
        <f ca="1">COUNTBLANK(INDIRECT("g189"))</f>
        <v>1</v>
      </c>
      <c r="AF189" s="61">
        <f ca="1">COUNTBLANK(INDIRECT("h189"))</f>
        <v>1</v>
      </c>
      <c r="AG189" s="61">
        <f ca="1">COUNTBLANK(INDIRECT("b189"))</f>
        <v>1</v>
      </c>
    </row>
    <row r="190" spans="1:33" x14ac:dyDescent="0.25">
      <c r="A190" s="2">
        <v>10</v>
      </c>
      <c r="B190" s="63"/>
      <c r="C190" s="56"/>
      <c r="D190" s="56"/>
      <c r="E190" s="56"/>
      <c r="F190" s="56"/>
      <c r="G190" s="56"/>
      <c r="H190" s="56"/>
      <c r="I190" s="108" t="str">
        <f ca="1">IF(AND(INDIRECT("H190")&gt;=INDIRECT("F190"),AA190=0,AB190=0,AC190=0,AF190=0),"Yes",IF(AND(INDIRECT("H190")&lt;INDIRECT("F190"),AA190=0,AB190=0,AC190=0,AF190=0),"No","N/A"))</f>
        <v>N/A</v>
      </c>
      <c r="J190" s="174" t="str">
        <f t="shared" ca="1" si="13"/>
        <v>No Error</v>
      </c>
      <c r="K190" s="174"/>
      <c r="L190" s="174"/>
      <c r="AA190" s="61">
        <f ca="1">COUNTBLANK(INDIRECT("C190"))</f>
        <v>1</v>
      </c>
      <c r="AB190" s="61">
        <f ca="1">COUNTBLANK(INDIRECT("D190"))</f>
        <v>1</v>
      </c>
      <c r="AC190" s="61">
        <f ca="1">COUNTBLANK(INDIRECT("e190"))</f>
        <v>1</v>
      </c>
      <c r="AD190" s="61">
        <f ca="1">COUNTBLANK(INDIRECT("f190"))</f>
        <v>1</v>
      </c>
      <c r="AE190" s="61">
        <f ca="1">COUNTBLANK(INDIRECT("g190"))</f>
        <v>1</v>
      </c>
      <c r="AF190" s="61">
        <f ca="1">COUNTBLANK(INDIRECT("h190"))</f>
        <v>1</v>
      </c>
      <c r="AG190" s="61">
        <f ca="1">COUNTBLANK(INDIRECT("b190"))</f>
        <v>1</v>
      </c>
    </row>
    <row r="191" spans="1:33" x14ac:dyDescent="0.25">
      <c r="A191" s="2">
        <v>11</v>
      </c>
      <c r="B191" s="63"/>
      <c r="C191" s="56"/>
      <c r="D191" s="56"/>
      <c r="E191" s="56"/>
      <c r="F191" s="56"/>
      <c r="G191" s="56"/>
      <c r="H191" s="56"/>
      <c r="I191" s="108" t="str">
        <f ca="1">IF(AND(INDIRECT("H191")&gt;=INDIRECT("F191"),AA191=0,AB191=0,AC191=0,AF191=0),"Yes",IF(AND(INDIRECT("H191")&lt;INDIRECT("F191"),AA191=0,AB191=0,AC191=0,AF191=0),"No","N/A"))</f>
        <v>N/A</v>
      </c>
      <c r="J191" s="174" t="str">
        <f t="shared" ca="1" si="13"/>
        <v>No Error</v>
      </c>
      <c r="K191" s="174"/>
      <c r="L191" s="174"/>
      <c r="AA191" s="61">
        <f ca="1">COUNTBLANK(INDIRECT("C191"))</f>
        <v>1</v>
      </c>
      <c r="AB191" s="61">
        <f ca="1">COUNTBLANK(INDIRECT("D191"))</f>
        <v>1</v>
      </c>
      <c r="AC191" s="61">
        <f ca="1">COUNTBLANK(INDIRECT("e191"))</f>
        <v>1</v>
      </c>
      <c r="AD191" s="61">
        <f ca="1">COUNTBLANK(INDIRECT("f191"))</f>
        <v>1</v>
      </c>
      <c r="AE191" s="61">
        <f ca="1">COUNTBLANK(INDIRECT("g191"))</f>
        <v>1</v>
      </c>
      <c r="AF191" s="61">
        <f ca="1">COUNTBLANK(INDIRECT("h191"))</f>
        <v>1</v>
      </c>
      <c r="AG191" s="61">
        <f ca="1">COUNTBLANK(INDIRECT("b191"))</f>
        <v>1</v>
      </c>
    </row>
    <row r="192" spans="1:33" x14ac:dyDescent="0.25">
      <c r="A192" s="2">
        <v>12</v>
      </c>
      <c r="B192" s="63"/>
      <c r="C192" s="56"/>
      <c r="D192" s="56"/>
      <c r="E192" s="56"/>
      <c r="F192" s="56"/>
      <c r="G192" s="56"/>
      <c r="H192" s="56"/>
      <c r="I192" s="108" t="str">
        <f ca="1">IF(AND(INDIRECT("H192")&gt;=INDIRECT("F192"),AA192=0,AB192=0,AC192=0,AF192=0),"Yes",IF(AND(INDIRECT("H192")&lt;INDIRECT("F192"),AA192=0,AB192=0,AC192=0,AF192=0),"No","N/A"))</f>
        <v>N/A</v>
      </c>
      <c r="J192" s="174" t="str">
        <f t="shared" ca="1" si="13"/>
        <v>No Error</v>
      </c>
      <c r="K192" s="174"/>
      <c r="L192" s="174"/>
      <c r="AA192" s="61">
        <f ca="1">COUNTBLANK(INDIRECT("C192"))</f>
        <v>1</v>
      </c>
      <c r="AB192" s="61">
        <f ca="1">COUNTBLANK(INDIRECT("D192"))</f>
        <v>1</v>
      </c>
      <c r="AC192" s="61">
        <f ca="1">COUNTBLANK(INDIRECT("e192"))</f>
        <v>1</v>
      </c>
      <c r="AD192" s="61">
        <f ca="1">COUNTBLANK(INDIRECT("f192"))</f>
        <v>1</v>
      </c>
      <c r="AE192" s="61">
        <f ca="1">COUNTBLANK(INDIRECT("g192"))</f>
        <v>1</v>
      </c>
      <c r="AF192" s="61">
        <f ca="1">COUNTBLANK(INDIRECT("h192"))</f>
        <v>1</v>
      </c>
      <c r="AG192" s="61">
        <f ca="1">COUNTBLANK(INDIRECT("b192"))</f>
        <v>1</v>
      </c>
    </row>
    <row r="193" spans="1:33" x14ac:dyDescent="0.25">
      <c r="A193" s="2">
        <v>13</v>
      </c>
      <c r="B193" s="63"/>
      <c r="C193" s="56"/>
      <c r="D193" s="56"/>
      <c r="E193" s="56"/>
      <c r="F193" s="56"/>
      <c r="G193" s="56"/>
      <c r="H193" s="56"/>
      <c r="I193" s="108" t="str">
        <f ca="1">IF(AND(INDIRECT("H193")&gt;=INDIRECT("F193"),AA193=0,AB193=0,AC193=0,AF193=0),"Yes",IF(AND(INDIRECT("H193")&lt;INDIRECT("F193"),AA193=0,AB193=0,AC193=0,AF193=0),"No","N/A"))</f>
        <v>N/A</v>
      </c>
      <c r="J193" s="174" t="str">
        <f t="shared" ca="1" si="13"/>
        <v>No Error</v>
      </c>
      <c r="K193" s="174"/>
      <c r="L193" s="174"/>
      <c r="AA193" s="61">
        <f ca="1">COUNTBLANK(INDIRECT("C193"))</f>
        <v>1</v>
      </c>
      <c r="AB193" s="61">
        <f ca="1">COUNTBLANK(INDIRECT("D193"))</f>
        <v>1</v>
      </c>
      <c r="AC193" s="61">
        <f ca="1">COUNTBLANK(INDIRECT("e193"))</f>
        <v>1</v>
      </c>
      <c r="AD193" s="61">
        <f ca="1">COUNTBLANK(INDIRECT("f193"))</f>
        <v>1</v>
      </c>
      <c r="AE193" s="61">
        <f ca="1">COUNTBLANK(INDIRECT("g193"))</f>
        <v>1</v>
      </c>
      <c r="AF193" s="61">
        <f ca="1">COUNTBLANK(INDIRECT("h193"))</f>
        <v>1</v>
      </c>
      <c r="AG193" s="61">
        <f ca="1">COUNTBLANK(INDIRECT("b193"))</f>
        <v>1</v>
      </c>
    </row>
    <row r="194" spans="1:33" x14ac:dyDescent="0.25">
      <c r="A194" s="2">
        <v>14</v>
      </c>
      <c r="B194" s="63"/>
      <c r="C194" s="56"/>
      <c r="D194" s="56"/>
      <c r="E194" s="56"/>
      <c r="F194" s="56"/>
      <c r="G194" s="56"/>
      <c r="H194" s="56"/>
      <c r="I194" s="108" t="str">
        <f ca="1">IF(AND(INDIRECT("H194")&gt;=INDIRECT("F194"),AA194=0,AB194=0,AC194=0,AF194=0),"Yes",IF(AND(INDIRECT("H194")&lt;INDIRECT("F194"),AA194=0,AB194=0,AC194=0,AF194=0),"No","N/A"))</f>
        <v>N/A</v>
      </c>
      <c r="J194" s="174" t="str">
        <f t="shared" ca="1" si="13"/>
        <v>No Error</v>
      </c>
      <c r="K194" s="174"/>
      <c r="L194" s="174"/>
      <c r="AA194" s="61">
        <f ca="1">COUNTBLANK(INDIRECT("C194"))</f>
        <v>1</v>
      </c>
      <c r="AB194" s="61">
        <f ca="1">COUNTBLANK(INDIRECT("D194"))</f>
        <v>1</v>
      </c>
      <c r="AC194" s="61">
        <f ca="1">COUNTBLANK(INDIRECT("e194"))</f>
        <v>1</v>
      </c>
      <c r="AD194" s="61">
        <f ca="1">COUNTBLANK(INDIRECT("f194"))</f>
        <v>1</v>
      </c>
      <c r="AE194" s="61">
        <f ca="1">COUNTBLANK(INDIRECT("g194"))</f>
        <v>1</v>
      </c>
      <c r="AF194" s="61">
        <f ca="1">COUNTBLANK(INDIRECT("h194"))</f>
        <v>1</v>
      </c>
      <c r="AG194" s="61">
        <f ca="1">COUNTBLANK(INDIRECT("b194"))</f>
        <v>1</v>
      </c>
    </row>
    <row r="195" spans="1:33" x14ac:dyDescent="0.25">
      <c r="A195" s="2">
        <v>15</v>
      </c>
      <c r="B195" s="63"/>
      <c r="C195" s="56"/>
      <c r="D195" s="56"/>
      <c r="E195" s="56"/>
      <c r="F195" s="56"/>
      <c r="G195" s="56"/>
      <c r="H195" s="56"/>
      <c r="I195" s="108" t="str">
        <f ca="1">IF(AND(INDIRECT("H195")&gt;=INDIRECT("F195"),AA195=0,AB195=0,AC195=0,AF195=0),"Yes",IF(AND(INDIRECT("H195")&lt;INDIRECT("F195"),AA195=0,AB195=0,AC195=0,AF195=0),"No","N/A"))</f>
        <v>N/A</v>
      </c>
      <c r="J195" s="174" t="str">
        <f t="shared" ca="1" si="13"/>
        <v>No Error</v>
      </c>
      <c r="K195" s="174"/>
      <c r="L195" s="174"/>
      <c r="AA195" s="61">
        <f ca="1">COUNTBLANK(INDIRECT("C195"))</f>
        <v>1</v>
      </c>
      <c r="AB195" s="61">
        <f ca="1">COUNTBLANK(INDIRECT("D195"))</f>
        <v>1</v>
      </c>
      <c r="AC195" s="61">
        <f ca="1">COUNTBLANK(INDIRECT("e195"))</f>
        <v>1</v>
      </c>
      <c r="AD195" s="61">
        <f ca="1">COUNTBLANK(INDIRECT("f195"))</f>
        <v>1</v>
      </c>
      <c r="AE195" s="61">
        <f ca="1">COUNTBLANK(INDIRECT("g195"))</f>
        <v>1</v>
      </c>
      <c r="AF195" s="61">
        <f ca="1">COUNTBLANK(INDIRECT("h195"))</f>
        <v>1</v>
      </c>
      <c r="AG195" s="61">
        <f ca="1">COUNTBLANK(INDIRECT("b195"))</f>
        <v>1</v>
      </c>
    </row>
    <row r="196" spans="1:33" x14ac:dyDescent="0.25">
      <c r="A196" s="2">
        <v>16</v>
      </c>
      <c r="B196" s="63"/>
      <c r="C196" s="56"/>
      <c r="D196" s="56"/>
      <c r="E196" s="56"/>
      <c r="F196" s="56"/>
      <c r="G196" s="56"/>
      <c r="H196" s="56"/>
      <c r="I196" s="108" t="str">
        <f ca="1">IF(AND(INDIRECT("H196")&gt;=INDIRECT("F196"),AA196=0,AB196=0,AC196=0,AF196=0),"Yes",IF(AND(INDIRECT("H196")&lt;INDIRECT("F196"),AA196=0,AB196=0,AC196=0,AF196=0),"No","N/A"))</f>
        <v>N/A</v>
      </c>
      <c r="J196" s="174" t="str">
        <f t="shared" ca="1" si="13"/>
        <v>No Error</v>
      </c>
      <c r="K196" s="174"/>
      <c r="L196" s="174"/>
      <c r="AA196" s="61">
        <f ca="1">COUNTBLANK(INDIRECT("C196"))</f>
        <v>1</v>
      </c>
      <c r="AB196" s="61">
        <f ca="1">COUNTBLANK(INDIRECT("D196"))</f>
        <v>1</v>
      </c>
      <c r="AC196" s="61">
        <f ca="1">COUNTBLANK(INDIRECT("e196"))</f>
        <v>1</v>
      </c>
      <c r="AD196" s="61">
        <f ca="1">COUNTBLANK(INDIRECT("f196"))</f>
        <v>1</v>
      </c>
      <c r="AE196" s="61">
        <f ca="1">COUNTBLANK(INDIRECT("g196"))</f>
        <v>1</v>
      </c>
      <c r="AF196" s="61">
        <f ca="1">COUNTBLANK(INDIRECT("h196"))</f>
        <v>1</v>
      </c>
      <c r="AG196" s="61">
        <f ca="1">COUNTBLANK(INDIRECT("b196"))</f>
        <v>1</v>
      </c>
    </row>
    <row r="197" spans="1:33" x14ac:dyDescent="0.25">
      <c r="A197" s="2">
        <v>17</v>
      </c>
      <c r="B197" s="63"/>
      <c r="C197" s="56"/>
      <c r="D197" s="56"/>
      <c r="E197" s="56"/>
      <c r="F197" s="56"/>
      <c r="G197" s="56"/>
      <c r="H197" s="56"/>
      <c r="I197" s="108" t="str">
        <f ca="1">IF(AND(INDIRECT("H197")&gt;=INDIRECT("F197"),AA197=0,AB197=0,AC197=0,AF197=0),"Yes",IF(AND(INDIRECT("H197")&lt;INDIRECT("F197"),AA197=0,AB197=0,AC197=0,AF197=0),"No","N/A"))</f>
        <v>N/A</v>
      </c>
      <c r="J197" s="174" t="str">
        <f t="shared" ca="1" si="13"/>
        <v>No Error</v>
      </c>
      <c r="K197" s="174"/>
      <c r="L197" s="174"/>
      <c r="AA197" s="61">
        <f ca="1">COUNTBLANK(INDIRECT("C197"))</f>
        <v>1</v>
      </c>
      <c r="AB197" s="61">
        <f ca="1">COUNTBLANK(INDIRECT("D197"))</f>
        <v>1</v>
      </c>
      <c r="AC197" s="61">
        <f ca="1">COUNTBLANK(INDIRECT("e197"))</f>
        <v>1</v>
      </c>
      <c r="AD197" s="61">
        <f ca="1">COUNTBLANK(INDIRECT("f197"))</f>
        <v>1</v>
      </c>
      <c r="AE197" s="61">
        <f ca="1">COUNTBLANK(INDIRECT("g197"))</f>
        <v>1</v>
      </c>
      <c r="AF197" s="61">
        <f ca="1">COUNTBLANK(INDIRECT("h197"))</f>
        <v>1</v>
      </c>
      <c r="AG197" s="61">
        <f ca="1">COUNTBLANK(INDIRECT("b197"))</f>
        <v>1</v>
      </c>
    </row>
    <row r="198" spans="1:33" x14ac:dyDescent="0.25">
      <c r="A198" s="2">
        <v>18</v>
      </c>
      <c r="B198" s="63"/>
      <c r="C198" s="56"/>
      <c r="D198" s="56"/>
      <c r="E198" s="56"/>
      <c r="F198" s="56"/>
      <c r="G198" s="56"/>
      <c r="H198" s="56"/>
      <c r="I198" s="108" t="str">
        <f ca="1">IF(AND(INDIRECT("H198")&gt;=INDIRECT("F198"),AA198=0,AB198=0,AC198=0,AF198=0),"Yes",IF(AND(INDIRECT("H198")&lt;INDIRECT("F198"),AA198=0,AB198=0,AC198=0,AF198=0),"No","N/A"))</f>
        <v>N/A</v>
      </c>
      <c r="J198" s="174" t="str">
        <f t="shared" ca="1" si="13"/>
        <v>No Error</v>
      </c>
      <c r="K198" s="174"/>
      <c r="L198" s="174"/>
      <c r="AA198" s="61">
        <f ca="1">COUNTBLANK(INDIRECT("C198"))</f>
        <v>1</v>
      </c>
      <c r="AB198" s="61">
        <f ca="1">COUNTBLANK(INDIRECT("D198"))</f>
        <v>1</v>
      </c>
      <c r="AC198" s="61">
        <f ca="1">COUNTBLANK(INDIRECT("e198"))</f>
        <v>1</v>
      </c>
      <c r="AD198" s="61">
        <f ca="1">COUNTBLANK(INDIRECT("f198"))</f>
        <v>1</v>
      </c>
      <c r="AE198" s="61">
        <f ca="1">COUNTBLANK(INDIRECT("g198"))</f>
        <v>1</v>
      </c>
      <c r="AF198" s="61">
        <f ca="1">COUNTBLANK(INDIRECT("h198"))</f>
        <v>1</v>
      </c>
      <c r="AG198" s="61">
        <f ca="1">COUNTBLANK(INDIRECT("b198"))</f>
        <v>1</v>
      </c>
    </row>
    <row r="199" spans="1:33" x14ac:dyDescent="0.25">
      <c r="A199" s="2">
        <v>19</v>
      </c>
      <c r="B199" s="63"/>
      <c r="C199" s="56"/>
      <c r="D199" s="56"/>
      <c r="E199" s="56"/>
      <c r="F199" s="56"/>
      <c r="G199" s="56"/>
      <c r="H199" s="56"/>
      <c r="I199" s="108" t="str">
        <f ca="1">IF(AND(INDIRECT("H199")&gt;=INDIRECT("F199"),AA199=0,AB199=0,AC199=0,AF199=0),"Yes",IF(AND(INDIRECT("H199")&lt;INDIRECT("F199"),AA199=0,AB199=0,AC199=0,AF199=0),"No","N/A"))</f>
        <v>N/A</v>
      </c>
      <c r="J199" s="174" t="str">
        <f t="shared" ca="1" si="13"/>
        <v>No Error</v>
      </c>
      <c r="K199" s="174"/>
      <c r="L199" s="174"/>
      <c r="AA199" s="61">
        <f ca="1">COUNTBLANK(INDIRECT("C199"))</f>
        <v>1</v>
      </c>
      <c r="AB199" s="61">
        <f ca="1">COUNTBLANK(INDIRECT("D199"))</f>
        <v>1</v>
      </c>
      <c r="AC199" s="61">
        <f ca="1">COUNTBLANK(INDIRECT("e199"))</f>
        <v>1</v>
      </c>
      <c r="AD199" s="61">
        <f ca="1">COUNTBLANK(INDIRECT("f199"))</f>
        <v>1</v>
      </c>
      <c r="AE199" s="61">
        <f ca="1">COUNTBLANK(INDIRECT("g199"))</f>
        <v>1</v>
      </c>
      <c r="AF199" s="61">
        <f ca="1">COUNTBLANK(INDIRECT("h199"))</f>
        <v>1</v>
      </c>
      <c r="AG199" s="61">
        <f ca="1">COUNTBLANK(INDIRECT("b199"))</f>
        <v>1</v>
      </c>
    </row>
    <row r="200" spans="1:33" x14ac:dyDescent="0.25">
      <c r="A200" s="2">
        <v>20</v>
      </c>
      <c r="B200" s="63"/>
      <c r="C200" s="56"/>
      <c r="D200" s="56"/>
      <c r="E200" s="56"/>
      <c r="F200" s="56"/>
      <c r="G200" s="56"/>
      <c r="H200" s="56"/>
      <c r="I200" s="108" t="str">
        <f ca="1">IF(AND(INDIRECT("H200")&gt;=INDIRECT("F200"),AA200=0,AB200=0,AC200=0,AF200=0),"Yes",IF(AND(INDIRECT("H200")&lt;INDIRECT("F200"),AA200=0,AB200=0,AC200=0,AF200=0),"No","N/A"))</f>
        <v>N/A</v>
      </c>
      <c r="J200" s="174" t="str">
        <f t="shared" ca="1" si="13"/>
        <v>No Error</v>
      </c>
      <c r="K200" s="174"/>
      <c r="L200" s="174"/>
      <c r="AA200" s="61">
        <f ca="1">COUNTBLANK(INDIRECT("C200"))</f>
        <v>1</v>
      </c>
      <c r="AB200" s="61">
        <f ca="1">COUNTBLANK(INDIRECT("D200"))</f>
        <v>1</v>
      </c>
      <c r="AC200" s="61">
        <f ca="1">COUNTBLANK(INDIRECT("e200"))</f>
        <v>1</v>
      </c>
      <c r="AD200" s="61">
        <f ca="1">COUNTBLANK(INDIRECT("f200"))</f>
        <v>1</v>
      </c>
      <c r="AE200" s="61">
        <f ca="1">COUNTBLANK(INDIRECT("g200"))</f>
        <v>1</v>
      </c>
      <c r="AF200" s="61">
        <f ca="1">COUNTBLANK(INDIRECT("h200"))</f>
        <v>1</v>
      </c>
      <c r="AG200" s="61">
        <f ca="1">COUNTBLANK(INDIRECT("b200"))</f>
        <v>1</v>
      </c>
    </row>
    <row r="201" spans="1:33" x14ac:dyDescent="0.25">
      <c r="A201" s="2">
        <v>21</v>
      </c>
      <c r="B201" s="63"/>
      <c r="C201" s="56"/>
      <c r="D201" s="56"/>
      <c r="E201" s="56"/>
      <c r="F201" s="56"/>
      <c r="G201" s="56"/>
      <c r="H201" s="56"/>
      <c r="I201" s="108" t="str">
        <f ca="1">IF(AND(INDIRECT("H201")&gt;=INDIRECT("F201"),AA201=0,AB201=0,AC201=0,AF201=0),"Yes",IF(AND(INDIRECT("H201")&lt;INDIRECT("F201"),AA201=0,AB201=0,AC201=0,AF201=0),"No","N/A"))</f>
        <v>N/A</v>
      </c>
      <c r="J201" s="174" t="str">
        <f t="shared" ca="1" si="13"/>
        <v>No Error</v>
      </c>
      <c r="K201" s="174"/>
      <c r="L201" s="174"/>
      <c r="AA201" s="61">
        <f ca="1">COUNTBLANK(INDIRECT("C201"))</f>
        <v>1</v>
      </c>
      <c r="AB201" s="61">
        <f ca="1">COUNTBLANK(INDIRECT("D201"))</f>
        <v>1</v>
      </c>
      <c r="AC201" s="61">
        <f ca="1">COUNTBLANK(INDIRECT("e201"))</f>
        <v>1</v>
      </c>
      <c r="AD201" s="61">
        <f ca="1">COUNTBLANK(INDIRECT("f201"))</f>
        <v>1</v>
      </c>
      <c r="AE201" s="61">
        <f ca="1">COUNTBLANK(INDIRECT("g201"))</f>
        <v>1</v>
      </c>
      <c r="AF201" s="61">
        <f ca="1">COUNTBLANK(INDIRECT("h201"))</f>
        <v>1</v>
      </c>
      <c r="AG201" s="61">
        <f ca="1">COUNTBLANK(INDIRECT("b201"))</f>
        <v>1</v>
      </c>
    </row>
    <row r="202" spans="1:33" x14ac:dyDescent="0.25">
      <c r="A202" s="2">
        <v>22</v>
      </c>
      <c r="B202" s="63"/>
      <c r="C202" s="56"/>
      <c r="D202" s="56"/>
      <c r="E202" s="56"/>
      <c r="F202" s="56"/>
      <c r="G202" s="56"/>
      <c r="H202" s="56"/>
      <c r="I202" s="108" t="str">
        <f ca="1">IF(AND(INDIRECT("H202")&gt;=INDIRECT("F202"),AA202=0,AB202=0,AC202=0,AF202=0),"Yes",IF(AND(INDIRECT("H202")&lt;INDIRECT("F202"),AA202=0,AB202=0,AC202=0,AF202=0),"No","N/A"))</f>
        <v>N/A</v>
      </c>
      <c r="J202" s="174" t="str">
        <f t="shared" ca="1" si="13"/>
        <v>No Error</v>
      </c>
      <c r="K202" s="174"/>
      <c r="L202" s="174"/>
      <c r="AA202" s="61">
        <f ca="1">COUNTBLANK(INDIRECT("C202"))</f>
        <v>1</v>
      </c>
      <c r="AB202" s="61">
        <f ca="1">COUNTBLANK(INDIRECT("D202"))</f>
        <v>1</v>
      </c>
      <c r="AC202" s="61">
        <f ca="1">COUNTBLANK(INDIRECT("e202"))</f>
        <v>1</v>
      </c>
      <c r="AD202" s="61">
        <f ca="1">COUNTBLANK(INDIRECT("f202"))</f>
        <v>1</v>
      </c>
      <c r="AE202" s="61">
        <f ca="1">COUNTBLANK(INDIRECT("g202"))</f>
        <v>1</v>
      </c>
      <c r="AF202" s="61">
        <f ca="1">COUNTBLANK(INDIRECT("h202"))</f>
        <v>1</v>
      </c>
      <c r="AG202" s="61">
        <f ca="1">COUNTBLANK(INDIRECT("b202"))</f>
        <v>1</v>
      </c>
    </row>
    <row r="203" spans="1:33" x14ac:dyDescent="0.25">
      <c r="A203" s="2">
        <v>23</v>
      </c>
      <c r="B203" s="63"/>
      <c r="C203" s="56"/>
      <c r="D203" s="56"/>
      <c r="E203" s="56"/>
      <c r="F203" s="56"/>
      <c r="G203" s="56"/>
      <c r="H203" s="56"/>
      <c r="I203" s="108" t="str">
        <f ca="1">IF(AND(INDIRECT("H203")&gt;=INDIRECT("F203"),AA203=0,AB203=0,AC203=0,AF203=0),"Yes",IF(AND(INDIRECT("H203")&lt;INDIRECT("F203"),AA203=0,AB203=0,AC203=0,AF203=0),"No","N/A"))</f>
        <v>N/A</v>
      </c>
      <c r="J203" s="174" t="str">
        <f t="shared" ca="1" si="13"/>
        <v>No Error</v>
      </c>
      <c r="K203" s="174"/>
      <c r="L203" s="174"/>
      <c r="AA203" s="61">
        <f ca="1">COUNTBLANK(INDIRECT("C203"))</f>
        <v>1</v>
      </c>
      <c r="AB203" s="61">
        <f ca="1">COUNTBLANK(INDIRECT("D203"))</f>
        <v>1</v>
      </c>
      <c r="AC203" s="61">
        <f ca="1">COUNTBLANK(INDIRECT("e203"))</f>
        <v>1</v>
      </c>
      <c r="AD203" s="61">
        <f ca="1">COUNTBLANK(INDIRECT("f203"))</f>
        <v>1</v>
      </c>
      <c r="AE203" s="61">
        <f ca="1">COUNTBLANK(INDIRECT("g203"))</f>
        <v>1</v>
      </c>
      <c r="AF203" s="61">
        <f ca="1">COUNTBLANK(INDIRECT("h203"))</f>
        <v>1</v>
      </c>
      <c r="AG203" s="61">
        <f ca="1">COUNTBLANK(INDIRECT("b203"))</f>
        <v>1</v>
      </c>
    </row>
    <row r="204" spans="1:33" x14ac:dyDescent="0.25">
      <c r="A204" s="2">
        <v>24</v>
      </c>
      <c r="B204" s="63"/>
      <c r="C204" s="56"/>
      <c r="D204" s="56"/>
      <c r="E204" s="56"/>
      <c r="F204" s="56"/>
      <c r="G204" s="56"/>
      <c r="H204" s="56"/>
      <c r="I204" s="108" t="str">
        <f ca="1">IF(AND(INDIRECT("H204")&gt;=INDIRECT("F204"),AA204=0,AB204=0,AC204=0,AF204=0),"Yes",IF(AND(INDIRECT("H204")&lt;INDIRECT("F204"),AA204=0,AB204=0,AC204=0,AF204=0),"No","N/A"))</f>
        <v>N/A</v>
      </c>
      <c r="J204" s="174" t="str">
        <f t="shared" ca="1" si="13"/>
        <v>No Error</v>
      </c>
      <c r="K204" s="174"/>
      <c r="L204" s="174"/>
      <c r="AA204" s="61">
        <f ca="1">COUNTBLANK(INDIRECT("C204"))</f>
        <v>1</v>
      </c>
      <c r="AB204" s="61">
        <f ca="1">COUNTBLANK(INDIRECT("D204"))</f>
        <v>1</v>
      </c>
      <c r="AC204" s="61">
        <f ca="1">COUNTBLANK(INDIRECT("e204"))</f>
        <v>1</v>
      </c>
      <c r="AD204" s="61">
        <f ca="1">COUNTBLANK(INDIRECT("f204"))</f>
        <v>1</v>
      </c>
      <c r="AE204" s="61">
        <f ca="1">COUNTBLANK(INDIRECT("g204"))</f>
        <v>1</v>
      </c>
      <c r="AF204" s="61">
        <f ca="1">COUNTBLANK(INDIRECT("h204"))</f>
        <v>1</v>
      </c>
      <c r="AG204" s="61">
        <f ca="1">COUNTBLANK(INDIRECT("b204"))</f>
        <v>1</v>
      </c>
    </row>
    <row r="205" spans="1:33" x14ac:dyDescent="0.25">
      <c r="A205" s="2">
        <v>25</v>
      </c>
      <c r="B205" s="63"/>
      <c r="C205" s="56"/>
      <c r="D205" s="56"/>
      <c r="E205" s="56"/>
      <c r="F205" s="56"/>
      <c r="G205" s="56"/>
      <c r="H205" s="56"/>
      <c r="I205" s="108" t="str">
        <f ca="1">IF(AND(INDIRECT("H205")&gt;=INDIRECT("F205"),AA205=0,AB205=0,AC205=0,AF205=0),"Yes",IF(AND(INDIRECT("H205")&lt;INDIRECT("F205"),AA205=0,AB205=0,AC205=0,AF205=0),"No","N/A"))</f>
        <v>N/A</v>
      </c>
      <c r="J205" s="174" t="str">
        <f t="shared" ca="1" si="13"/>
        <v>No Error</v>
      </c>
      <c r="K205" s="174"/>
      <c r="L205" s="174"/>
      <c r="AA205" s="61">
        <f ca="1">COUNTBLANK(INDIRECT("C205"))</f>
        <v>1</v>
      </c>
      <c r="AB205" s="61">
        <f ca="1">COUNTBLANK(INDIRECT("D205"))</f>
        <v>1</v>
      </c>
      <c r="AC205" s="61">
        <f ca="1">COUNTBLANK(INDIRECT("e205"))</f>
        <v>1</v>
      </c>
      <c r="AD205" s="61">
        <f ca="1">COUNTBLANK(INDIRECT("f205"))</f>
        <v>1</v>
      </c>
      <c r="AE205" s="61">
        <f ca="1">COUNTBLANK(INDIRECT("g205"))</f>
        <v>1</v>
      </c>
      <c r="AF205" s="61">
        <f ca="1">COUNTBLANK(INDIRECT("h205"))</f>
        <v>1</v>
      </c>
      <c r="AG205" s="61">
        <f ca="1">COUNTBLANK(INDIRECT("b205"))</f>
        <v>1</v>
      </c>
    </row>
    <row r="206" spans="1:33" x14ac:dyDescent="0.25">
      <c r="A206" s="2">
        <v>26</v>
      </c>
      <c r="B206" s="63"/>
      <c r="C206" s="56"/>
      <c r="D206" s="56"/>
      <c r="E206" s="56"/>
      <c r="F206" s="56"/>
      <c r="G206" s="56"/>
      <c r="H206" s="56"/>
      <c r="I206" s="108" t="str">
        <f ca="1">IF(AND(INDIRECT("H206")&gt;=INDIRECT("F206"),AA206=0,AB206=0,AC206=0,AF206=0),"Yes",IF(AND(INDIRECT("H206")&lt;INDIRECT("F206"),AA206=0,AB206=0,AC206=0,AF206=0),"No","N/A"))</f>
        <v>N/A</v>
      </c>
      <c r="J206" s="174" t="str">
        <f t="shared" ref="J206:J269" ca="1" si="14">IF(AND(AF206=0,AG206=0,AA206=0,AB206=0,AC206=0,AD206=0),"No Error",IF(AND(AF206=1,AG206=1,AA206=1,AB206=1,AC206=1,AD206=1),"No Error","Please supply all information"))</f>
        <v>No Error</v>
      </c>
      <c r="K206" s="174"/>
      <c r="L206" s="174"/>
      <c r="AA206" s="61">
        <f ca="1">COUNTBLANK(INDIRECT("C206"))</f>
        <v>1</v>
      </c>
      <c r="AB206" s="61">
        <f ca="1">COUNTBLANK(INDIRECT("D206"))</f>
        <v>1</v>
      </c>
      <c r="AC206" s="61">
        <f ca="1">COUNTBLANK(INDIRECT("e206"))</f>
        <v>1</v>
      </c>
      <c r="AD206" s="61">
        <f ca="1">COUNTBLANK(INDIRECT("f206"))</f>
        <v>1</v>
      </c>
      <c r="AE206" s="61">
        <f ca="1">COUNTBLANK(INDIRECT("g206"))</f>
        <v>1</v>
      </c>
      <c r="AF206" s="61">
        <f ca="1">COUNTBLANK(INDIRECT("h206"))</f>
        <v>1</v>
      </c>
      <c r="AG206" s="61">
        <f ca="1">COUNTBLANK(INDIRECT("b206"))</f>
        <v>1</v>
      </c>
    </row>
    <row r="207" spans="1:33" x14ac:dyDescent="0.25">
      <c r="A207" s="2">
        <v>27</v>
      </c>
      <c r="B207" s="63"/>
      <c r="C207" s="56"/>
      <c r="D207" s="56"/>
      <c r="E207" s="56"/>
      <c r="F207" s="56"/>
      <c r="G207" s="56"/>
      <c r="H207" s="56"/>
      <c r="I207" s="108" t="str">
        <f ca="1">IF(AND(INDIRECT("H207")&gt;=INDIRECT("F207"),AA207=0,AB207=0,AC207=0,AF207=0),"Yes",IF(AND(INDIRECT("H207")&lt;INDIRECT("F207"),AA207=0,AB207=0,AC207=0,AF207=0),"No","N/A"))</f>
        <v>N/A</v>
      </c>
      <c r="J207" s="174" t="str">
        <f t="shared" ca="1" si="14"/>
        <v>No Error</v>
      </c>
      <c r="K207" s="174"/>
      <c r="L207" s="174"/>
      <c r="AA207" s="61">
        <f ca="1">COUNTBLANK(INDIRECT("C207"))</f>
        <v>1</v>
      </c>
      <c r="AB207" s="61">
        <f ca="1">COUNTBLANK(INDIRECT("D207"))</f>
        <v>1</v>
      </c>
      <c r="AC207" s="61">
        <f ca="1">COUNTBLANK(INDIRECT("e207"))</f>
        <v>1</v>
      </c>
      <c r="AD207" s="61">
        <f ca="1">COUNTBLANK(INDIRECT("f207"))</f>
        <v>1</v>
      </c>
      <c r="AE207" s="61">
        <f ca="1">COUNTBLANK(INDIRECT("g207"))</f>
        <v>1</v>
      </c>
      <c r="AF207" s="61">
        <f ca="1">COUNTBLANK(INDIRECT("h207"))</f>
        <v>1</v>
      </c>
      <c r="AG207" s="61">
        <f ca="1">COUNTBLANK(INDIRECT("b207"))</f>
        <v>1</v>
      </c>
    </row>
    <row r="208" spans="1:33" x14ac:dyDescent="0.25">
      <c r="A208" s="2">
        <v>28</v>
      </c>
      <c r="B208" s="63"/>
      <c r="C208" s="56"/>
      <c r="D208" s="56"/>
      <c r="E208" s="56"/>
      <c r="F208" s="56"/>
      <c r="G208" s="56"/>
      <c r="H208" s="56"/>
      <c r="I208" s="108" t="str">
        <f ca="1">IF(AND(INDIRECT("H208")&gt;=INDIRECT("F208"),AA208=0,AB208=0,AC208=0,AF208=0),"Yes",IF(AND(INDIRECT("H208")&lt;INDIRECT("F208"),AA208=0,AB208=0,AC208=0,AF208=0),"No","N/A"))</f>
        <v>N/A</v>
      </c>
      <c r="J208" s="174" t="str">
        <f t="shared" ca="1" si="14"/>
        <v>No Error</v>
      </c>
      <c r="K208" s="174"/>
      <c r="L208" s="174"/>
      <c r="AA208" s="61">
        <f ca="1">COUNTBLANK(INDIRECT("C208"))</f>
        <v>1</v>
      </c>
      <c r="AB208" s="61">
        <f ca="1">COUNTBLANK(INDIRECT("D208"))</f>
        <v>1</v>
      </c>
      <c r="AC208" s="61">
        <f ca="1">COUNTBLANK(INDIRECT("e208"))</f>
        <v>1</v>
      </c>
      <c r="AD208" s="61">
        <f ca="1">COUNTBLANK(INDIRECT("f208"))</f>
        <v>1</v>
      </c>
      <c r="AE208" s="61">
        <f ca="1">COUNTBLANK(INDIRECT("g208"))</f>
        <v>1</v>
      </c>
      <c r="AF208" s="61">
        <f ca="1">COUNTBLANK(INDIRECT("h208"))</f>
        <v>1</v>
      </c>
      <c r="AG208" s="61">
        <f ca="1">COUNTBLANK(INDIRECT("b208"))</f>
        <v>1</v>
      </c>
    </row>
    <row r="209" spans="1:33" x14ac:dyDescent="0.25">
      <c r="A209" s="2">
        <v>29</v>
      </c>
      <c r="B209" s="63"/>
      <c r="C209" s="56"/>
      <c r="D209" s="56"/>
      <c r="E209" s="56"/>
      <c r="F209" s="56"/>
      <c r="G209" s="56"/>
      <c r="H209" s="56"/>
      <c r="I209" s="108" t="str">
        <f ca="1">IF(AND(INDIRECT("H209")&gt;=INDIRECT("F209"),AA209=0,AB209=0,AC209=0,AF209=0),"Yes",IF(AND(INDIRECT("H209")&lt;INDIRECT("F209"),AA209=0,AB209=0,AC209=0,AF209=0),"No","N/A"))</f>
        <v>N/A</v>
      </c>
      <c r="J209" s="174" t="str">
        <f t="shared" ca="1" si="14"/>
        <v>No Error</v>
      </c>
      <c r="K209" s="174"/>
      <c r="L209" s="174"/>
      <c r="AA209" s="61">
        <f ca="1">COUNTBLANK(INDIRECT("C209"))</f>
        <v>1</v>
      </c>
      <c r="AB209" s="61">
        <f ca="1">COUNTBLANK(INDIRECT("D209"))</f>
        <v>1</v>
      </c>
      <c r="AC209" s="61">
        <f ca="1">COUNTBLANK(INDIRECT("e209"))</f>
        <v>1</v>
      </c>
      <c r="AD209" s="61">
        <f ca="1">COUNTBLANK(INDIRECT("f209"))</f>
        <v>1</v>
      </c>
      <c r="AE209" s="61">
        <f ca="1">COUNTBLANK(INDIRECT("g209"))</f>
        <v>1</v>
      </c>
      <c r="AF209" s="61">
        <f ca="1">COUNTBLANK(INDIRECT("h209"))</f>
        <v>1</v>
      </c>
      <c r="AG209" s="61">
        <f ca="1">COUNTBLANK(INDIRECT("b209"))</f>
        <v>1</v>
      </c>
    </row>
    <row r="210" spans="1:33" x14ac:dyDescent="0.25">
      <c r="A210" s="2">
        <v>30</v>
      </c>
      <c r="B210" s="63"/>
      <c r="C210" s="56"/>
      <c r="D210" s="56"/>
      <c r="E210" s="56"/>
      <c r="F210" s="56"/>
      <c r="G210" s="56"/>
      <c r="H210" s="56"/>
      <c r="I210" s="108" t="str">
        <f ca="1">IF(AND(INDIRECT("H210")&gt;=INDIRECT("F210"),AA210=0,AB210=0,AC210=0,AF210=0),"Yes",IF(AND(INDIRECT("H210")&lt;INDIRECT("F210"),AA210=0,AB210=0,AC210=0,AF210=0),"No","N/A"))</f>
        <v>N/A</v>
      </c>
      <c r="J210" s="174" t="str">
        <f t="shared" ca="1" si="14"/>
        <v>No Error</v>
      </c>
      <c r="K210" s="174"/>
      <c r="L210" s="174"/>
      <c r="AA210" s="61">
        <f ca="1">COUNTBLANK(INDIRECT("C210"))</f>
        <v>1</v>
      </c>
      <c r="AB210" s="61">
        <f ca="1">COUNTBLANK(INDIRECT("D210"))</f>
        <v>1</v>
      </c>
      <c r="AC210" s="61">
        <f ca="1">COUNTBLANK(INDIRECT("e210"))</f>
        <v>1</v>
      </c>
      <c r="AD210" s="61">
        <f ca="1">COUNTBLANK(INDIRECT("f210"))</f>
        <v>1</v>
      </c>
      <c r="AE210" s="61">
        <f ca="1">COUNTBLANK(INDIRECT("g210"))</f>
        <v>1</v>
      </c>
      <c r="AF210" s="61">
        <f ca="1">COUNTBLANK(INDIRECT("h210"))</f>
        <v>1</v>
      </c>
      <c r="AG210" s="61">
        <f ca="1">COUNTBLANK(INDIRECT("b210"))</f>
        <v>1</v>
      </c>
    </row>
    <row r="211" spans="1:33" x14ac:dyDescent="0.25">
      <c r="A211" s="2">
        <v>31</v>
      </c>
      <c r="B211" s="63"/>
      <c r="C211" s="56"/>
      <c r="D211" s="56"/>
      <c r="E211" s="56"/>
      <c r="F211" s="56"/>
      <c r="G211" s="56"/>
      <c r="H211" s="56"/>
      <c r="I211" s="108" t="str">
        <f ca="1">IF(AND(INDIRECT("H211")&gt;=INDIRECT("F211"),AA211=0,AB211=0,AC211=0,AF211=0),"Yes",IF(AND(INDIRECT("H211")&lt;INDIRECT("F211"),AA211=0,AB211=0,AC211=0,AF211=0),"No","N/A"))</f>
        <v>N/A</v>
      </c>
      <c r="J211" s="174" t="str">
        <f t="shared" ca="1" si="14"/>
        <v>No Error</v>
      </c>
      <c r="K211" s="174"/>
      <c r="L211" s="174"/>
      <c r="AA211" s="61">
        <f ca="1">COUNTBLANK(INDIRECT("C211"))</f>
        <v>1</v>
      </c>
      <c r="AB211" s="61">
        <f ca="1">COUNTBLANK(INDIRECT("D211"))</f>
        <v>1</v>
      </c>
      <c r="AC211" s="61">
        <f ca="1">COUNTBLANK(INDIRECT("e211"))</f>
        <v>1</v>
      </c>
      <c r="AD211" s="61">
        <f ca="1">COUNTBLANK(INDIRECT("f211"))</f>
        <v>1</v>
      </c>
      <c r="AE211" s="61">
        <f ca="1">COUNTBLANK(INDIRECT("g211"))</f>
        <v>1</v>
      </c>
      <c r="AF211" s="61">
        <f ca="1">COUNTBLANK(INDIRECT("h211"))</f>
        <v>1</v>
      </c>
      <c r="AG211" s="61">
        <f ca="1">COUNTBLANK(INDIRECT("b211"))</f>
        <v>1</v>
      </c>
    </row>
    <row r="212" spans="1:33" x14ac:dyDescent="0.25">
      <c r="A212" s="2">
        <v>32</v>
      </c>
      <c r="B212" s="63"/>
      <c r="C212" s="56"/>
      <c r="D212" s="56"/>
      <c r="E212" s="56"/>
      <c r="F212" s="56"/>
      <c r="G212" s="56"/>
      <c r="H212" s="56"/>
      <c r="I212" s="108" t="str">
        <f ca="1">IF(AND(INDIRECT("H212")&gt;=INDIRECT("F212"),AA212=0,AB212=0,AC212=0,AF212=0),"Yes",IF(AND(INDIRECT("H212")&lt;INDIRECT("F212"),AA212=0,AB212=0,AC212=0,AF212=0),"No","N/A"))</f>
        <v>N/A</v>
      </c>
      <c r="J212" s="174" t="str">
        <f t="shared" ca="1" si="14"/>
        <v>No Error</v>
      </c>
      <c r="K212" s="174"/>
      <c r="L212" s="174"/>
      <c r="AA212" s="61">
        <f ca="1">COUNTBLANK(INDIRECT("C212"))</f>
        <v>1</v>
      </c>
      <c r="AB212" s="61">
        <f ca="1">COUNTBLANK(INDIRECT("D212"))</f>
        <v>1</v>
      </c>
      <c r="AC212" s="61">
        <f ca="1">COUNTBLANK(INDIRECT("e212"))</f>
        <v>1</v>
      </c>
      <c r="AD212" s="61">
        <f ca="1">COUNTBLANK(INDIRECT("f212"))</f>
        <v>1</v>
      </c>
      <c r="AE212" s="61">
        <f ca="1">COUNTBLANK(INDIRECT("g212"))</f>
        <v>1</v>
      </c>
      <c r="AF212" s="61">
        <f ca="1">COUNTBLANK(INDIRECT("h212"))</f>
        <v>1</v>
      </c>
      <c r="AG212" s="61">
        <f ca="1">COUNTBLANK(INDIRECT("b212"))</f>
        <v>1</v>
      </c>
    </row>
    <row r="213" spans="1:33" x14ac:dyDescent="0.25">
      <c r="A213" s="2">
        <v>33</v>
      </c>
      <c r="B213" s="63"/>
      <c r="C213" s="56"/>
      <c r="D213" s="56"/>
      <c r="E213" s="56"/>
      <c r="F213" s="56"/>
      <c r="G213" s="56"/>
      <c r="H213" s="56"/>
      <c r="I213" s="108" t="str">
        <f ca="1">IF(AND(INDIRECT("H213")&gt;=INDIRECT("F213"),AA213=0,AB213=0,AC213=0,AF213=0),"Yes",IF(AND(INDIRECT("H213")&lt;INDIRECT("F213"),AA213=0,AB213=0,AC213=0,AF213=0),"No","N/A"))</f>
        <v>N/A</v>
      </c>
      <c r="J213" s="174" t="str">
        <f t="shared" ca="1" si="14"/>
        <v>No Error</v>
      </c>
      <c r="K213" s="174"/>
      <c r="L213" s="174"/>
      <c r="AA213" s="61">
        <f ca="1">COUNTBLANK(INDIRECT("C213"))</f>
        <v>1</v>
      </c>
      <c r="AB213" s="61">
        <f ca="1">COUNTBLANK(INDIRECT("D213"))</f>
        <v>1</v>
      </c>
      <c r="AC213" s="61">
        <f ca="1">COUNTBLANK(INDIRECT("e213"))</f>
        <v>1</v>
      </c>
      <c r="AD213" s="61">
        <f ca="1">COUNTBLANK(INDIRECT("f213"))</f>
        <v>1</v>
      </c>
      <c r="AE213" s="61">
        <f ca="1">COUNTBLANK(INDIRECT("g213"))</f>
        <v>1</v>
      </c>
      <c r="AF213" s="61">
        <f ca="1">COUNTBLANK(INDIRECT("h213"))</f>
        <v>1</v>
      </c>
      <c r="AG213" s="61">
        <f ca="1">COUNTBLANK(INDIRECT("b213"))</f>
        <v>1</v>
      </c>
    </row>
    <row r="214" spans="1:33" x14ac:dyDescent="0.25">
      <c r="A214" s="2">
        <v>34</v>
      </c>
      <c r="B214" s="63"/>
      <c r="C214" s="56"/>
      <c r="D214" s="56"/>
      <c r="E214" s="56"/>
      <c r="F214" s="56"/>
      <c r="G214" s="56"/>
      <c r="H214" s="56"/>
      <c r="I214" s="108" t="str">
        <f ca="1">IF(AND(INDIRECT("H214")&gt;=INDIRECT("F214"),AA214=0,AB214=0,AC214=0,AF214=0),"Yes",IF(AND(INDIRECT("H214")&lt;INDIRECT("F214"),AA214=0,AB214=0,AC214=0,AF214=0),"No","N/A"))</f>
        <v>N/A</v>
      </c>
      <c r="J214" s="174" t="str">
        <f t="shared" ca="1" si="14"/>
        <v>No Error</v>
      </c>
      <c r="K214" s="174"/>
      <c r="L214" s="174"/>
      <c r="AA214" s="61">
        <f ca="1">COUNTBLANK(INDIRECT("C214"))</f>
        <v>1</v>
      </c>
      <c r="AB214" s="61">
        <f ca="1">COUNTBLANK(INDIRECT("D214"))</f>
        <v>1</v>
      </c>
      <c r="AC214" s="61">
        <f ca="1">COUNTBLANK(INDIRECT("e214"))</f>
        <v>1</v>
      </c>
      <c r="AD214" s="61">
        <f ca="1">COUNTBLANK(INDIRECT("f214"))</f>
        <v>1</v>
      </c>
      <c r="AE214" s="61">
        <f ca="1">COUNTBLANK(INDIRECT("g214"))</f>
        <v>1</v>
      </c>
      <c r="AF214" s="61">
        <f ca="1">COUNTBLANK(INDIRECT("h214"))</f>
        <v>1</v>
      </c>
      <c r="AG214" s="61">
        <f ca="1">COUNTBLANK(INDIRECT("b214"))</f>
        <v>1</v>
      </c>
    </row>
    <row r="215" spans="1:33" x14ac:dyDescent="0.25">
      <c r="A215" s="2">
        <v>35</v>
      </c>
      <c r="B215" s="63"/>
      <c r="C215" s="56"/>
      <c r="D215" s="56"/>
      <c r="E215" s="56"/>
      <c r="F215" s="56"/>
      <c r="G215" s="56"/>
      <c r="H215" s="56"/>
      <c r="I215" s="108" t="str">
        <f ca="1">IF(AND(INDIRECT("H215")&gt;=INDIRECT("F215"),AA215=0,AB215=0,AC215=0,AF215=0),"Yes",IF(AND(INDIRECT("H215")&lt;INDIRECT("F215"),AA215=0,AB215=0,AC215=0,AF215=0),"No","N/A"))</f>
        <v>N/A</v>
      </c>
      <c r="J215" s="174" t="str">
        <f t="shared" ca="1" si="14"/>
        <v>No Error</v>
      </c>
      <c r="K215" s="174"/>
      <c r="L215" s="174"/>
      <c r="AA215" s="61">
        <f ca="1">COUNTBLANK(INDIRECT("C215"))</f>
        <v>1</v>
      </c>
      <c r="AB215" s="61">
        <f ca="1">COUNTBLANK(INDIRECT("D215"))</f>
        <v>1</v>
      </c>
      <c r="AC215" s="61">
        <f ca="1">COUNTBLANK(INDIRECT("e215"))</f>
        <v>1</v>
      </c>
      <c r="AD215" s="61">
        <f ca="1">COUNTBLANK(INDIRECT("f215"))</f>
        <v>1</v>
      </c>
      <c r="AE215" s="61">
        <f ca="1">COUNTBLANK(INDIRECT("g215"))</f>
        <v>1</v>
      </c>
      <c r="AF215" s="61">
        <f ca="1">COUNTBLANK(INDIRECT("h215"))</f>
        <v>1</v>
      </c>
      <c r="AG215" s="61">
        <f ca="1">COUNTBLANK(INDIRECT("b215"))</f>
        <v>1</v>
      </c>
    </row>
    <row r="216" spans="1:33" x14ac:dyDescent="0.25">
      <c r="A216" s="2">
        <v>36</v>
      </c>
      <c r="B216" s="63"/>
      <c r="C216" s="56"/>
      <c r="D216" s="56"/>
      <c r="E216" s="56"/>
      <c r="F216" s="56"/>
      <c r="G216" s="56"/>
      <c r="H216" s="56"/>
      <c r="I216" s="108" t="str">
        <f ca="1">IF(AND(INDIRECT("H216")&gt;=INDIRECT("F216"),AA216=0,AB216=0,AC216=0,AF216=0),"Yes",IF(AND(INDIRECT("H216")&lt;INDIRECT("F216"),AA216=0,AB216=0,AC216=0,AF216=0),"No","N/A"))</f>
        <v>N/A</v>
      </c>
      <c r="J216" s="174" t="str">
        <f t="shared" ca="1" si="14"/>
        <v>No Error</v>
      </c>
      <c r="K216" s="174"/>
      <c r="L216" s="174"/>
      <c r="AA216" s="61">
        <f ca="1">COUNTBLANK(INDIRECT("C216"))</f>
        <v>1</v>
      </c>
      <c r="AB216" s="61">
        <f ca="1">COUNTBLANK(INDIRECT("D216"))</f>
        <v>1</v>
      </c>
      <c r="AC216" s="61">
        <f ca="1">COUNTBLANK(INDIRECT("e216"))</f>
        <v>1</v>
      </c>
      <c r="AD216" s="61">
        <f ca="1">COUNTBLANK(INDIRECT("f216"))</f>
        <v>1</v>
      </c>
      <c r="AE216" s="61">
        <f ca="1">COUNTBLANK(INDIRECT("g216"))</f>
        <v>1</v>
      </c>
      <c r="AF216" s="61">
        <f ca="1">COUNTBLANK(INDIRECT("h216"))</f>
        <v>1</v>
      </c>
      <c r="AG216" s="61">
        <f ca="1">COUNTBLANK(INDIRECT("b216"))</f>
        <v>1</v>
      </c>
    </row>
    <row r="217" spans="1:33" x14ac:dyDescent="0.25">
      <c r="A217" s="2">
        <v>37</v>
      </c>
      <c r="B217" s="63"/>
      <c r="C217" s="56"/>
      <c r="D217" s="56"/>
      <c r="E217" s="56"/>
      <c r="F217" s="56"/>
      <c r="G217" s="56"/>
      <c r="H217" s="56"/>
      <c r="I217" s="108" t="str">
        <f ca="1">IF(AND(INDIRECT("H217")&gt;=INDIRECT("F217"),AA217=0,AB217=0,AC217=0,AF217=0),"Yes",IF(AND(INDIRECT("H217")&lt;INDIRECT("F217"),AA217=0,AB217=0,AC217=0,AF217=0),"No","N/A"))</f>
        <v>N/A</v>
      </c>
      <c r="J217" s="174" t="str">
        <f t="shared" ca="1" si="14"/>
        <v>No Error</v>
      </c>
      <c r="K217" s="174"/>
      <c r="L217" s="174"/>
      <c r="AA217" s="61">
        <f ca="1">COUNTBLANK(INDIRECT("C217"))</f>
        <v>1</v>
      </c>
      <c r="AB217" s="61">
        <f ca="1">COUNTBLANK(INDIRECT("D217"))</f>
        <v>1</v>
      </c>
      <c r="AC217" s="61">
        <f ca="1">COUNTBLANK(INDIRECT("e217"))</f>
        <v>1</v>
      </c>
      <c r="AD217" s="61">
        <f ca="1">COUNTBLANK(INDIRECT("f217"))</f>
        <v>1</v>
      </c>
      <c r="AE217" s="61">
        <f ca="1">COUNTBLANK(INDIRECT("g217"))</f>
        <v>1</v>
      </c>
      <c r="AF217" s="61">
        <f ca="1">COUNTBLANK(INDIRECT("h217"))</f>
        <v>1</v>
      </c>
      <c r="AG217" s="61">
        <f ca="1">COUNTBLANK(INDIRECT("b217"))</f>
        <v>1</v>
      </c>
    </row>
    <row r="218" spans="1:33" x14ac:dyDescent="0.25">
      <c r="A218" s="2">
        <v>38</v>
      </c>
      <c r="B218" s="63"/>
      <c r="C218" s="56"/>
      <c r="D218" s="56"/>
      <c r="E218" s="56"/>
      <c r="F218" s="56"/>
      <c r="G218" s="56"/>
      <c r="H218" s="56"/>
      <c r="I218" s="108" t="str">
        <f ca="1">IF(AND(INDIRECT("H218")&gt;=INDIRECT("F218"),AA218=0,AB218=0,AC218=0,AF218=0),"Yes",IF(AND(INDIRECT("H218")&lt;INDIRECT("F218"),AA218=0,AB218=0,AC218=0,AF218=0),"No","N/A"))</f>
        <v>N/A</v>
      </c>
      <c r="J218" s="174" t="str">
        <f t="shared" ca="1" si="14"/>
        <v>No Error</v>
      </c>
      <c r="K218" s="174"/>
      <c r="L218" s="174"/>
      <c r="AA218" s="61">
        <f ca="1">COUNTBLANK(INDIRECT("C218"))</f>
        <v>1</v>
      </c>
      <c r="AB218" s="61">
        <f ca="1">COUNTBLANK(INDIRECT("D218"))</f>
        <v>1</v>
      </c>
      <c r="AC218" s="61">
        <f ca="1">COUNTBLANK(INDIRECT("e218"))</f>
        <v>1</v>
      </c>
      <c r="AD218" s="61">
        <f ca="1">COUNTBLANK(INDIRECT("f218"))</f>
        <v>1</v>
      </c>
      <c r="AE218" s="61">
        <f ca="1">COUNTBLANK(INDIRECT("g218"))</f>
        <v>1</v>
      </c>
      <c r="AF218" s="61">
        <f ca="1">COUNTBLANK(INDIRECT("h218"))</f>
        <v>1</v>
      </c>
      <c r="AG218" s="61">
        <f ca="1">COUNTBLANK(INDIRECT("b218"))</f>
        <v>1</v>
      </c>
    </row>
    <row r="219" spans="1:33" x14ac:dyDescent="0.25">
      <c r="A219" s="2">
        <v>39</v>
      </c>
      <c r="B219" s="63"/>
      <c r="C219" s="56"/>
      <c r="D219" s="56"/>
      <c r="E219" s="56"/>
      <c r="F219" s="56"/>
      <c r="G219" s="56"/>
      <c r="H219" s="56"/>
      <c r="I219" s="108" t="str">
        <f ca="1">IF(AND(INDIRECT("H219")&gt;=INDIRECT("F219"),AA219=0,AB219=0,AC219=0,AF219=0),"Yes",IF(AND(INDIRECT("H219")&lt;INDIRECT("F219"),AA219=0,AB219=0,AC219=0,AF219=0),"No","N/A"))</f>
        <v>N/A</v>
      </c>
      <c r="J219" s="174" t="str">
        <f t="shared" ca="1" si="14"/>
        <v>No Error</v>
      </c>
      <c r="K219" s="174"/>
      <c r="L219" s="174"/>
      <c r="AA219" s="61">
        <f ca="1">COUNTBLANK(INDIRECT("C219"))</f>
        <v>1</v>
      </c>
      <c r="AB219" s="61">
        <f ca="1">COUNTBLANK(INDIRECT("D219"))</f>
        <v>1</v>
      </c>
      <c r="AC219" s="61">
        <f ca="1">COUNTBLANK(INDIRECT("e219"))</f>
        <v>1</v>
      </c>
      <c r="AD219" s="61">
        <f ca="1">COUNTBLANK(INDIRECT("f219"))</f>
        <v>1</v>
      </c>
      <c r="AE219" s="61">
        <f ca="1">COUNTBLANK(INDIRECT("g219"))</f>
        <v>1</v>
      </c>
      <c r="AF219" s="61">
        <f ca="1">COUNTBLANK(INDIRECT("h219"))</f>
        <v>1</v>
      </c>
      <c r="AG219" s="61">
        <f ca="1">COUNTBLANK(INDIRECT("b219"))</f>
        <v>1</v>
      </c>
    </row>
    <row r="220" spans="1:33" x14ac:dyDescent="0.25">
      <c r="A220" s="2">
        <v>40</v>
      </c>
      <c r="B220" s="63"/>
      <c r="C220" s="56"/>
      <c r="D220" s="56"/>
      <c r="E220" s="56"/>
      <c r="F220" s="56"/>
      <c r="G220" s="56"/>
      <c r="H220" s="56"/>
      <c r="I220" s="108" t="str">
        <f ca="1">IF(AND(INDIRECT("H220")&gt;=INDIRECT("F220"),AA220=0,AB220=0,AC220=0,AF220=0),"Yes",IF(AND(INDIRECT("H220")&lt;INDIRECT("F220"),AA220=0,AB220=0,AC220=0,AF220=0),"No","N/A"))</f>
        <v>N/A</v>
      </c>
      <c r="J220" s="174" t="str">
        <f t="shared" ca="1" si="14"/>
        <v>No Error</v>
      </c>
      <c r="K220" s="174"/>
      <c r="L220" s="174"/>
      <c r="AA220" s="61">
        <f ca="1">COUNTBLANK(INDIRECT("C220"))</f>
        <v>1</v>
      </c>
      <c r="AB220" s="61">
        <f ca="1">COUNTBLANK(INDIRECT("D220"))</f>
        <v>1</v>
      </c>
      <c r="AC220" s="61">
        <f ca="1">COUNTBLANK(INDIRECT("e220"))</f>
        <v>1</v>
      </c>
      <c r="AD220" s="61">
        <f ca="1">COUNTBLANK(INDIRECT("f220"))</f>
        <v>1</v>
      </c>
      <c r="AE220" s="61">
        <f ca="1">COUNTBLANK(INDIRECT("g220"))</f>
        <v>1</v>
      </c>
      <c r="AF220" s="61">
        <f ca="1">COUNTBLANK(INDIRECT("h220"))</f>
        <v>1</v>
      </c>
      <c r="AG220" s="61">
        <f ca="1">COUNTBLANK(INDIRECT("b220"))</f>
        <v>1</v>
      </c>
    </row>
    <row r="221" spans="1:33" x14ac:dyDescent="0.25">
      <c r="A221" s="2">
        <v>41</v>
      </c>
      <c r="B221" s="63"/>
      <c r="C221" s="56"/>
      <c r="D221" s="56"/>
      <c r="E221" s="56"/>
      <c r="F221" s="56"/>
      <c r="G221" s="56"/>
      <c r="H221" s="56"/>
      <c r="I221" s="108" t="str">
        <f ca="1">IF(AND(INDIRECT("H221")&gt;=INDIRECT("F221"),AA221=0,AB221=0,AC221=0,AF221=0),"Yes",IF(AND(INDIRECT("H221")&lt;INDIRECT("F221"),AA221=0,AB221=0,AC221=0,AF221=0),"No","N/A"))</f>
        <v>N/A</v>
      </c>
      <c r="J221" s="174" t="str">
        <f t="shared" ca="1" si="14"/>
        <v>No Error</v>
      </c>
      <c r="K221" s="174"/>
      <c r="L221" s="174"/>
      <c r="AA221" s="61">
        <f ca="1">COUNTBLANK(INDIRECT("C221"))</f>
        <v>1</v>
      </c>
      <c r="AB221" s="61">
        <f ca="1">COUNTBLANK(INDIRECT("D221"))</f>
        <v>1</v>
      </c>
      <c r="AC221" s="61">
        <f ca="1">COUNTBLANK(INDIRECT("e221"))</f>
        <v>1</v>
      </c>
      <c r="AD221" s="61">
        <f ca="1">COUNTBLANK(INDIRECT("f221"))</f>
        <v>1</v>
      </c>
      <c r="AE221" s="61">
        <f ca="1">COUNTBLANK(INDIRECT("g221"))</f>
        <v>1</v>
      </c>
      <c r="AF221" s="61">
        <f ca="1">COUNTBLANK(INDIRECT("h221"))</f>
        <v>1</v>
      </c>
      <c r="AG221" s="61">
        <f ca="1">COUNTBLANK(INDIRECT("b221"))</f>
        <v>1</v>
      </c>
    </row>
    <row r="222" spans="1:33" x14ac:dyDescent="0.25">
      <c r="A222" s="2">
        <v>42</v>
      </c>
      <c r="B222" s="63"/>
      <c r="C222" s="56"/>
      <c r="D222" s="56"/>
      <c r="E222" s="56"/>
      <c r="F222" s="56"/>
      <c r="G222" s="56"/>
      <c r="H222" s="56"/>
      <c r="I222" s="108" t="str">
        <f ca="1">IF(AND(INDIRECT("H222")&gt;=INDIRECT("F222"),AA222=0,AB222=0,AC222=0,AF222=0),"Yes",IF(AND(INDIRECT("H222")&lt;INDIRECT("F222"),AA222=0,AB222=0,AC222=0,AF222=0),"No","N/A"))</f>
        <v>N/A</v>
      </c>
      <c r="J222" s="174" t="str">
        <f t="shared" ca="1" si="14"/>
        <v>No Error</v>
      </c>
      <c r="K222" s="174"/>
      <c r="L222" s="174"/>
      <c r="AA222" s="61">
        <f ca="1">COUNTBLANK(INDIRECT("C222"))</f>
        <v>1</v>
      </c>
      <c r="AB222" s="61">
        <f ca="1">COUNTBLANK(INDIRECT("D222"))</f>
        <v>1</v>
      </c>
      <c r="AC222" s="61">
        <f ca="1">COUNTBLANK(INDIRECT("e222"))</f>
        <v>1</v>
      </c>
      <c r="AD222" s="61">
        <f ca="1">COUNTBLANK(INDIRECT("f222"))</f>
        <v>1</v>
      </c>
      <c r="AE222" s="61">
        <f ca="1">COUNTBLANK(INDIRECT("g222"))</f>
        <v>1</v>
      </c>
      <c r="AF222" s="61">
        <f ca="1">COUNTBLANK(INDIRECT("h222"))</f>
        <v>1</v>
      </c>
      <c r="AG222" s="61">
        <f ca="1">COUNTBLANK(INDIRECT("b222"))</f>
        <v>1</v>
      </c>
    </row>
    <row r="223" spans="1:33" x14ac:dyDescent="0.25">
      <c r="A223" s="2">
        <v>43</v>
      </c>
      <c r="B223" s="63"/>
      <c r="C223" s="56"/>
      <c r="D223" s="56"/>
      <c r="E223" s="56"/>
      <c r="F223" s="56"/>
      <c r="G223" s="56"/>
      <c r="H223" s="56"/>
      <c r="I223" s="108" t="str">
        <f ca="1">IF(AND(INDIRECT("H223")&gt;=INDIRECT("F223"),AA223=0,AB223=0,AC223=0,AF223=0),"Yes",IF(AND(INDIRECT("H223")&lt;INDIRECT("F223"),AA223=0,AB223=0,AC223=0,AF223=0),"No","N/A"))</f>
        <v>N/A</v>
      </c>
      <c r="J223" s="174" t="str">
        <f t="shared" ca="1" si="14"/>
        <v>No Error</v>
      </c>
      <c r="K223" s="174"/>
      <c r="L223" s="174"/>
      <c r="AA223" s="61">
        <f ca="1">COUNTBLANK(INDIRECT("C223"))</f>
        <v>1</v>
      </c>
      <c r="AB223" s="61">
        <f ca="1">COUNTBLANK(INDIRECT("D223"))</f>
        <v>1</v>
      </c>
      <c r="AC223" s="61">
        <f ca="1">COUNTBLANK(INDIRECT("e223"))</f>
        <v>1</v>
      </c>
      <c r="AD223" s="61">
        <f ca="1">COUNTBLANK(INDIRECT("f223"))</f>
        <v>1</v>
      </c>
      <c r="AE223" s="61">
        <f ca="1">COUNTBLANK(INDIRECT("g223"))</f>
        <v>1</v>
      </c>
      <c r="AF223" s="61">
        <f ca="1">COUNTBLANK(INDIRECT("h223"))</f>
        <v>1</v>
      </c>
      <c r="AG223" s="61">
        <f ca="1">COUNTBLANK(INDIRECT("b223"))</f>
        <v>1</v>
      </c>
    </row>
    <row r="224" spans="1:33" x14ac:dyDescent="0.25">
      <c r="A224" s="2">
        <v>44</v>
      </c>
      <c r="B224" s="63"/>
      <c r="C224" s="56"/>
      <c r="D224" s="56"/>
      <c r="E224" s="56"/>
      <c r="F224" s="56"/>
      <c r="G224" s="56"/>
      <c r="H224" s="56"/>
      <c r="I224" s="108" t="str">
        <f ca="1">IF(AND(INDIRECT("H224")&gt;=INDIRECT("F224"),AA224=0,AB224=0,AC224=0,AF224=0),"Yes",IF(AND(INDIRECT("H224")&lt;INDIRECT("F224"),AA224=0,AB224=0,AC224=0,AF224=0),"No","N/A"))</f>
        <v>N/A</v>
      </c>
      <c r="J224" s="174" t="str">
        <f t="shared" ca="1" si="14"/>
        <v>No Error</v>
      </c>
      <c r="K224" s="174"/>
      <c r="L224" s="174"/>
      <c r="AA224" s="61">
        <f ca="1">COUNTBLANK(INDIRECT("C224"))</f>
        <v>1</v>
      </c>
      <c r="AB224" s="61">
        <f ca="1">COUNTBLANK(INDIRECT("D224"))</f>
        <v>1</v>
      </c>
      <c r="AC224" s="61">
        <f ca="1">COUNTBLANK(INDIRECT("e224"))</f>
        <v>1</v>
      </c>
      <c r="AD224" s="61">
        <f ca="1">COUNTBLANK(INDIRECT("f224"))</f>
        <v>1</v>
      </c>
      <c r="AE224" s="61">
        <f ca="1">COUNTBLANK(INDIRECT("g224"))</f>
        <v>1</v>
      </c>
      <c r="AF224" s="61">
        <f ca="1">COUNTBLANK(INDIRECT("h224"))</f>
        <v>1</v>
      </c>
      <c r="AG224" s="61">
        <f ca="1">COUNTBLANK(INDIRECT("b224"))</f>
        <v>1</v>
      </c>
    </row>
    <row r="225" spans="1:33" x14ac:dyDescent="0.25">
      <c r="A225" s="2">
        <v>45</v>
      </c>
      <c r="B225" s="63"/>
      <c r="C225" s="56"/>
      <c r="D225" s="56"/>
      <c r="E225" s="56"/>
      <c r="F225" s="56"/>
      <c r="G225" s="56"/>
      <c r="H225" s="56"/>
      <c r="I225" s="108" t="str">
        <f ca="1">IF(AND(INDIRECT("H225")&gt;=INDIRECT("F225"),AA225=0,AB225=0,AC225=0,AF225=0),"Yes",IF(AND(INDIRECT("H225")&lt;INDIRECT("F225"),AA225=0,AB225=0,AC225=0,AF225=0),"No","N/A"))</f>
        <v>N/A</v>
      </c>
      <c r="J225" s="174" t="str">
        <f t="shared" ca="1" si="14"/>
        <v>No Error</v>
      </c>
      <c r="K225" s="174"/>
      <c r="L225" s="174"/>
      <c r="AA225" s="61">
        <f ca="1">COUNTBLANK(INDIRECT("C225"))</f>
        <v>1</v>
      </c>
      <c r="AB225" s="61">
        <f ca="1">COUNTBLANK(INDIRECT("D225"))</f>
        <v>1</v>
      </c>
      <c r="AC225" s="61">
        <f ca="1">COUNTBLANK(INDIRECT("e225"))</f>
        <v>1</v>
      </c>
      <c r="AD225" s="61">
        <f ca="1">COUNTBLANK(INDIRECT("f225"))</f>
        <v>1</v>
      </c>
      <c r="AE225" s="61">
        <f ca="1">COUNTBLANK(INDIRECT("g225"))</f>
        <v>1</v>
      </c>
      <c r="AF225" s="61">
        <f ca="1">COUNTBLANK(INDIRECT("h225"))</f>
        <v>1</v>
      </c>
      <c r="AG225" s="61">
        <f ca="1">COUNTBLANK(INDIRECT("b225"))</f>
        <v>1</v>
      </c>
    </row>
    <row r="226" spans="1:33" x14ac:dyDescent="0.25">
      <c r="A226" s="2">
        <v>46</v>
      </c>
      <c r="B226" s="63"/>
      <c r="C226" s="56"/>
      <c r="D226" s="56"/>
      <c r="E226" s="56"/>
      <c r="F226" s="56"/>
      <c r="G226" s="56"/>
      <c r="H226" s="56"/>
      <c r="I226" s="108" t="str">
        <f ca="1">IF(AND(INDIRECT("H226")&gt;=INDIRECT("F226"),AA226=0,AB226=0,AC226=0,AF226=0),"Yes",IF(AND(INDIRECT("H226")&lt;INDIRECT("F226"),AA226=0,AB226=0,AC226=0,AF226=0),"No","N/A"))</f>
        <v>N/A</v>
      </c>
      <c r="J226" s="174" t="str">
        <f t="shared" ca="1" si="14"/>
        <v>No Error</v>
      </c>
      <c r="K226" s="174"/>
      <c r="L226" s="174"/>
      <c r="AA226" s="61">
        <f ca="1">COUNTBLANK(INDIRECT("C226"))</f>
        <v>1</v>
      </c>
      <c r="AB226" s="61">
        <f ca="1">COUNTBLANK(INDIRECT("D226"))</f>
        <v>1</v>
      </c>
      <c r="AC226" s="61">
        <f ca="1">COUNTBLANK(INDIRECT("e226"))</f>
        <v>1</v>
      </c>
      <c r="AD226" s="61">
        <f ca="1">COUNTBLANK(INDIRECT("f226"))</f>
        <v>1</v>
      </c>
      <c r="AE226" s="61">
        <f ca="1">COUNTBLANK(INDIRECT("g226"))</f>
        <v>1</v>
      </c>
      <c r="AF226" s="61">
        <f ca="1">COUNTBLANK(INDIRECT("h226"))</f>
        <v>1</v>
      </c>
      <c r="AG226" s="61">
        <f ca="1">COUNTBLANK(INDIRECT("b226"))</f>
        <v>1</v>
      </c>
    </row>
    <row r="227" spans="1:33" x14ac:dyDescent="0.25">
      <c r="A227" s="2">
        <v>47</v>
      </c>
      <c r="B227" s="63"/>
      <c r="C227" s="56"/>
      <c r="D227" s="56"/>
      <c r="E227" s="56"/>
      <c r="F227" s="56"/>
      <c r="G227" s="56"/>
      <c r="H227" s="56"/>
      <c r="I227" s="108" t="str">
        <f ca="1">IF(AND(INDIRECT("H227")&gt;=INDIRECT("F227"),AA227=0,AB227=0,AC227=0,AF227=0),"Yes",IF(AND(INDIRECT("H227")&lt;INDIRECT("F227"),AA227=0,AB227=0,AC227=0,AF227=0),"No","N/A"))</f>
        <v>N/A</v>
      </c>
      <c r="J227" s="174" t="str">
        <f t="shared" ca="1" si="14"/>
        <v>No Error</v>
      </c>
      <c r="K227" s="174"/>
      <c r="L227" s="174"/>
      <c r="AA227" s="61">
        <f ca="1">COUNTBLANK(INDIRECT("C227"))</f>
        <v>1</v>
      </c>
      <c r="AB227" s="61">
        <f ca="1">COUNTBLANK(INDIRECT("D227"))</f>
        <v>1</v>
      </c>
      <c r="AC227" s="61">
        <f ca="1">COUNTBLANK(INDIRECT("e227"))</f>
        <v>1</v>
      </c>
      <c r="AD227" s="61">
        <f ca="1">COUNTBLANK(INDIRECT("f227"))</f>
        <v>1</v>
      </c>
      <c r="AE227" s="61">
        <f ca="1">COUNTBLANK(INDIRECT("g227"))</f>
        <v>1</v>
      </c>
      <c r="AF227" s="61">
        <f ca="1">COUNTBLANK(INDIRECT("h227"))</f>
        <v>1</v>
      </c>
      <c r="AG227" s="61">
        <f ca="1">COUNTBLANK(INDIRECT("b227"))</f>
        <v>1</v>
      </c>
    </row>
    <row r="228" spans="1:33" x14ac:dyDescent="0.25">
      <c r="A228" s="2">
        <v>48</v>
      </c>
      <c r="B228" s="63"/>
      <c r="C228" s="56"/>
      <c r="D228" s="56"/>
      <c r="E228" s="56"/>
      <c r="F228" s="56"/>
      <c r="G228" s="56"/>
      <c r="H228" s="56"/>
      <c r="I228" s="108" t="str">
        <f ca="1">IF(AND(INDIRECT("H228")&gt;=INDIRECT("F228"),AA228=0,AB228=0,AC228=0,AF228=0),"Yes",IF(AND(INDIRECT("H228")&lt;INDIRECT("F228"),AA228=0,AB228=0,AC228=0,AF228=0),"No","N/A"))</f>
        <v>N/A</v>
      </c>
      <c r="J228" s="174" t="str">
        <f t="shared" ca="1" si="14"/>
        <v>No Error</v>
      </c>
      <c r="K228" s="174"/>
      <c r="L228" s="174"/>
      <c r="AA228" s="61">
        <f ca="1">COUNTBLANK(INDIRECT("C228"))</f>
        <v>1</v>
      </c>
      <c r="AB228" s="61">
        <f ca="1">COUNTBLANK(INDIRECT("D228"))</f>
        <v>1</v>
      </c>
      <c r="AC228" s="61">
        <f ca="1">COUNTBLANK(INDIRECT("e228"))</f>
        <v>1</v>
      </c>
      <c r="AD228" s="61">
        <f ca="1">COUNTBLANK(INDIRECT("f228"))</f>
        <v>1</v>
      </c>
      <c r="AE228" s="61">
        <f ca="1">COUNTBLANK(INDIRECT("g228"))</f>
        <v>1</v>
      </c>
      <c r="AF228" s="61">
        <f ca="1">COUNTBLANK(INDIRECT("h228"))</f>
        <v>1</v>
      </c>
      <c r="AG228" s="61">
        <f ca="1">COUNTBLANK(INDIRECT("b228"))</f>
        <v>1</v>
      </c>
    </row>
    <row r="229" spans="1:33" x14ac:dyDescent="0.25">
      <c r="A229" s="2">
        <v>49</v>
      </c>
      <c r="B229" s="63"/>
      <c r="C229" s="56"/>
      <c r="D229" s="56"/>
      <c r="E229" s="56"/>
      <c r="F229" s="56"/>
      <c r="G229" s="56"/>
      <c r="H229" s="56"/>
      <c r="I229" s="108" t="str">
        <f ca="1">IF(AND(INDIRECT("H229")&gt;=INDIRECT("F229"),AA229=0,AB229=0,AC229=0,AF229=0),"Yes",IF(AND(INDIRECT("H229")&lt;INDIRECT("F229"),AA229=0,AB229=0,AC229=0,AF229=0),"No","N/A"))</f>
        <v>N/A</v>
      </c>
      <c r="J229" s="174" t="str">
        <f t="shared" ca="1" si="14"/>
        <v>No Error</v>
      </c>
      <c r="K229" s="174"/>
      <c r="L229" s="174"/>
      <c r="AA229" s="61">
        <f ca="1">COUNTBLANK(INDIRECT("C229"))</f>
        <v>1</v>
      </c>
      <c r="AB229" s="61">
        <f ca="1">COUNTBLANK(INDIRECT("D229"))</f>
        <v>1</v>
      </c>
      <c r="AC229" s="61">
        <f ca="1">COUNTBLANK(INDIRECT("e229"))</f>
        <v>1</v>
      </c>
      <c r="AD229" s="61">
        <f ca="1">COUNTBLANK(INDIRECT("f229"))</f>
        <v>1</v>
      </c>
      <c r="AE229" s="61">
        <f ca="1">COUNTBLANK(INDIRECT("g229"))</f>
        <v>1</v>
      </c>
      <c r="AF229" s="61">
        <f ca="1">COUNTBLANK(INDIRECT("h229"))</f>
        <v>1</v>
      </c>
      <c r="AG229" s="61">
        <f ca="1">COUNTBLANK(INDIRECT("b229"))</f>
        <v>1</v>
      </c>
    </row>
    <row r="230" spans="1:33" x14ac:dyDescent="0.25">
      <c r="A230" s="2">
        <v>50</v>
      </c>
      <c r="B230" s="63"/>
      <c r="C230" s="56"/>
      <c r="D230" s="56"/>
      <c r="E230" s="56"/>
      <c r="F230" s="56"/>
      <c r="G230" s="56"/>
      <c r="H230" s="56"/>
      <c r="I230" s="108" t="str">
        <f ca="1">IF(AND(INDIRECT("H230")&gt;=INDIRECT("F230"),AA230=0,AB230=0,AC230=0,AF230=0),"Yes",IF(AND(INDIRECT("H230")&lt;INDIRECT("F230"),AA230=0,AB230=0,AC230=0,AF230=0),"No","N/A"))</f>
        <v>N/A</v>
      </c>
      <c r="J230" s="174" t="str">
        <f t="shared" ca="1" si="14"/>
        <v>No Error</v>
      </c>
      <c r="K230" s="174"/>
      <c r="L230" s="174"/>
      <c r="AA230" s="61">
        <f ca="1">COUNTBLANK(INDIRECT("C230"))</f>
        <v>1</v>
      </c>
      <c r="AB230" s="61">
        <f ca="1">COUNTBLANK(INDIRECT("D230"))</f>
        <v>1</v>
      </c>
      <c r="AC230" s="61">
        <f ca="1">COUNTBLANK(INDIRECT("e230"))</f>
        <v>1</v>
      </c>
      <c r="AD230" s="61">
        <f ca="1">COUNTBLANK(INDIRECT("f230"))</f>
        <v>1</v>
      </c>
      <c r="AE230" s="61">
        <f ca="1">COUNTBLANK(INDIRECT("g230"))</f>
        <v>1</v>
      </c>
      <c r="AF230" s="61">
        <f ca="1">COUNTBLANK(INDIRECT("h230"))</f>
        <v>1</v>
      </c>
      <c r="AG230" s="61">
        <f ca="1">COUNTBLANK(INDIRECT("b230"))</f>
        <v>1</v>
      </c>
    </row>
    <row r="231" spans="1:33" x14ac:dyDescent="0.25">
      <c r="A231" s="2">
        <v>51</v>
      </c>
      <c r="B231" s="63"/>
      <c r="C231" s="56"/>
      <c r="D231" s="56"/>
      <c r="E231" s="56"/>
      <c r="F231" s="56"/>
      <c r="G231" s="56"/>
      <c r="H231" s="56"/>
      <c r="I231" s="108" t="str">
        <f ca="1">IF(AND(INDIRECT("H231")&gt;=INDIRECT("F231"),AA231=0,AB231=0,AC231=0,AF231=0),"Yes",IF(AND(INDIRECT("H231")&lt;INDIRECT("F231"),AA231=0,AB231=0,AC231=0,AF231=0),"No","N/A"))</f>
        <v>N/A</v>
      </c>
      <c r="J231" s="174" t="str">
        <f t="shared" ca="1" si="14"/>
        <v>No Error</v>
      </c>
      <c r="K231" s="174"/>
      <c r="L231" s="174"/>
      <c r="AA231" s="61">
        <f ca="1">COUNTBLANK(INDIRECT("C231"))</f>
        <v>1</v>
      </c>
      <c r="AB231" s="61">
        <f ca="1">COUNTBLANK(INDIRECT("D231"))</f>
        <v>1</v>
      </c>
      <c r="AC231" s="61">
        <f ca="1">COUNTBLANK(INDIRECT("e231"))</f>
        <v>1</v>
      </c>
      <c r="AD231" s="61">
        <f ca="1">COUNTBLANK(INDIRECT("f231"))</f>
        <v>1</v>
      </c>
      <c r="AE231" s="61">
        <f ca="1">COUNTBLANK(INDIRECT("g231"))</f>
        <v>1</v>
      </c>
      <c r="AF231" s="61">
        <f ca="1">COUNTBLANK(INDIRECT("h231"))</f>
        <v>1</v>
      </c>
      <c r="AG231" s="61">
        <f ca="1">COUNTBLANK(INDIRECT("b231"))</f>
        <v>1</v>
      </c>
    </row>
    <row r="232" spans="1:33" x14ac:dyDescent="0.25">
      <c r="A232" s="2">
        <v>52</v>
      </c>
      <c r="B232" s="63"/>
      <c r="C232" s="56"/>
      <c r="D232" s="56"/>
      <c r="E232" s="56"/>
      <c r="F232" s="56"/>
      <c r="G232" s="56"/>
      <c r="H232" s="56"/>
      <c r="I232" s="108" t="str">
        <f ca="1">IF(AND(INDIRECT("H232")&gt;=INDIRECT("F232"),AA232=0,AB232=0,AC232=0,AF232=0),"Yes",IF(AND(INDIRECT("H232")&lt;INDIRECT("F232"),AA232=0,AB232=0,AC232=0,AF232=0),"No","N/A"))</f>
        <v>N/A</v>
      </c>
      <c r="J232" s="174" t="str">
        <f t="shared" ca="1" si="14"/>
        <v>No Error</v>
      </c>
      <c r="K232" s="174"/>
      <c r="L232" s="174"/>
      <c r="AA232" s="61">
        <f ca="1">COUNTBLANK(INDIRECT("C232"))</f>
        <v>1</v>
      </c>
      <c r="AB232" s="61">
        <f ca="1">COUNTBLANK(INDIRECT("D232"))</f>
        <v>1</v>
      </c>
      <c r="AC232" s="61">
        <f ca="1">COUNTBLANK(INDIRECT("e232"))</f>
        <v>1</v>
      </c>
      <c r="AD232" s="61">
        <f ca="1">COUNTBLANK(INDIRECT("f232"))</f>
        <v>1</v>
      </c>
      <c r="AE232" s="61">
        <f ca="1">COUNTBLANK(INDIRECT("g232"))</f>
        <v>1</v>
      </c>
      <c r="AF232" s="61">
        <f ca="1">COUNTBLANK(INDIRECT("h232"))</f>
        <v>1</v>
      </c>
      <c r="AG232" s="61">
        <f ca="1">COUNTBLANK(INDIRECT("b232"))</f>
        <v>1</v>
      </c>
    </row>
    <row r="233" spans="1:33" x14ac:dyDescent="0.25">
      <c r="A233" s="2">
        <v>53</v>
      </c>
      <c r="B233" s="63"/>
      <c r="C233" s="56"/>
      <c r="D233" s="56"/>
      <c r="E233" s="56"/>
      <c r="F233" s="56"/>
      <c r="G233" s="56"/>
      <c r="H233" s="56"/>
      <c r="I233" s="108" t="str">
        <f ca="1">IF(AND(INDIRECT("H233")&gt;=INDIRECT("F233"),AA233=0,AB233=0,AC233=0,AF233=0),"Yes",IF(AND(INDIRECT("H233")&lt;INDIRECT("F233"),AA233=0,AB233=0,AC233=0,AF233=0),"No","N/A"))</f>
        <v>N/A</v>
      </c>
      <c r="J233" s="174" t="str">
        <f t="shared" ca="1" si="14"/>
        <v>No Error</v>
      </c>
      <c r="K233" s="174"/>
      <c r="L233" s="174"/>
      <c r="AA233" s="61">
        <f ca="1">COUNTBLANK(INDIRECT("C233"))</f>
        <v>1</v>
      </c>
      <c r="AB233" s="61">
        <f ca="1">COUNTBLANK(INDIRECT("D233"))</f>
        <v>1</v>
      </c>
      <c r="AC233" s="61">
        <f ca="1">COUNTBLANK(INDIRECT("e233"))</f>
        <v>1</v>
      </c>
      <c r="AD233" s="61">
        <f ca="1">COUNTBLANK(INDIRECT("f233"))</f>
        <v>1</v>
      </c>
      <c r="AE233" s="61">
        <f ca="1">COUNTBLANK(INDIRECT("g233"))</f>
        <v>1</v>
      </c>
      <c r="AF233" s="61">
        <f ca="1">COUNTBLANK(INDIRECT("h233"))</f>
        <v>1</v>
      </c>
      <c r="AG233" s="61">
        <f ca="1">COUNTBLANK(INDIRECT("b233"))</f>
        <v>1</v>
      </c>
    </row>
    <row r="234" spans="1:33" x14ac:dyDescent="0.25">
      <c r="A234" s="2">
        <v>54</v>
      </c>
      <c r="B234" s="63"/>
      <c r="C234" s="56"/>
      <c r="D234" s="56"/>
      <c r="E234" s="56"/>
      <c r="F234" s="56"/>
      <c r="G234" s="56"/>
      <c r="H234" s="56"/>
      <c r="I234" s="108" t="str">
        <f ca="1">IF(AND(INDIRECT("H234")&gt;=INDIRECT("F234"),AA234=0,AB234=0,AC234=0,AF234=0),"Yes",IF(AND(INDIRECT("H234")&lt;INDIRECT("F234"),AA234=0,AB234=0,AC234=0,AF234=0),"No","N/A"))</f>
        <v>N/A</v>
      </c>
      <c r="J234" s="174" t="str">
        <f t="shared" ca="1" si="14"/>
        <v>No Error</v>
      </c>
      <c r="K234" s="174"/>
      <c r="L234" s="174"/>
      <c r="AA234" s="61">
        <f ca="1">COUNTBLANK(INDIRECT("C234"))</f>
        <v>1</v>
      </c>
      <c r="AB234" s="61">
        <f ca="1">COUNTBLANK(INDIRECT("D234"))</f>
        <v>1</v>
      </c>
      <c r="AC234" s="61">
        <f ca="1">COUNTBLANK(INDIRECT("e234"))</f>
        <v>1</v>
      </c>
      <c r="AD234" s="61">
        <f ca="1">COUNTBLANK(INDIRECT("f234"))</f>
        <v>1</v>
      </c>
      <c r="AE234" s="61">
        <f ca="1">COUNTBLANK(INDIRECT("g234"))</f>
        <v>1</v>
      </c>
      <c r="AF234" s="61">
        <f ca="1">COUNTBLANK(INDIRECT("h234"))</f>
        <v>1</v>
      </c>
      <c r="AG234" s="61">
        <f ca="1">COUNTBLANK(INDIRECT("b234"))</f>
        <v>1</v>
      </c>
    </row>
    <row r="235" spans="1:33" x14ac:dyDescent="0.25">
      <c r="A235" s="2">
        <v>55</v>
      </c>
      <c r="B235" s="63"/>
      <c r="C235" s="56"/>
      <c r="D235" s="56"/>
      <c r="E235" s="56"/>
      <c r="F235" s="56"/>
      <c r="G235" s="56"/>
      <c r="H235" s="56"/>
      <c r="I235" s="108" t="str">
        <f ca="1">IF(AND(INDIRECT("H235")&gt;=INDIRECT("F235"),AA235=0,AB235=0,AC235=0,AF235=0),"Yes",IF(AND(INDIRECT("H235")&lt;INDIRECT("F235"),AA235=0,AB235=0,AC235=0,AF235=0),"No","N/A"))</f>
        <v>N/A</v>
      </c>
      <c r="J235" s="174" t="str">
        <f t="shared" ca="1" si="14"/>
        <v>No Error</v>
      </c>
      <c r="K235" s="174"/>
      <c r="L235" s="174"/>
      <c r="AA235" s="61">
        <f ca="1">COUNTBLANK(INDIRECT("C235"))</f>
        <v>1</v>
      </c>
      <c r="AB235" s="61">
        <f ca="1">COUNTBLANK(INDIRECT("D235"))</f>
        <v>1</v>
      </c>
      <c r="AC235" s="61">
        <f ca="1">COUNTBLANK(INDIRECT("e235"))</f>
        <v>1</v>
      </c>
      <c r="AD235" s="61">
        <f ca="1">COUNTBLANK(INDIRECT("f235"))</f>
        <v>1</v>
      </c>
      <c r="AE235" s="61">
        <f ca="1">COUNTBLANK(INDIRECT("g235"))</f>
        <v>1</v>
      </c>
      <c r="AF235" s="61">
        <f ca="1">COUNTBLANK(INDIRECT("h235"))</f>
        <v>1</v>
      </c>
      <c r="AG235" s="61">
        <f ca="1">COUNTBLANK(INDIRECT("b235"))</f>
        <v>1</v>
      </c>
    </row>
    <row r="236" spans="1:33" x14ac:dyDescent="0.25">
      <c r="A236" s="2">
        <v>56</v>
      </c>
      <c r="B236" s="63"/>
      <c r="C236" s="56"/>
      <c r="D236" s="56"/>
      <c r="E236" s="56"/>
      <c r="F236" s="56"/>
      <c r="G236" s="56"/>
      <c r="H236" s="56"/>
      <c r="I236" s="108" t="str">
        <f ca="1">IF(AND(INDIRECT("H236")&gt;=INDIRECT("F236"),AA236=0,AB236=0,AC236=0,AF236=0),"Yes",IF(AND(INDIRECT("H236")&lt;INDIRECT("F236"),AA236=0,AB236=0,AC236=0,AF236=0),"No","N/A"))</f>
        <v>N/A</v>
      </c>
      <c r="J236" s="174" t="str">
        <f t="shared" ca="1" si="14"/>
        <v>No Error</v>
      </c>
      <c r="K236" s="174"/>
      <c r="L236" s="174"/>
      <c r="AA236" s="61">
        <f ca="1">COUNTBLANK(INDIRECT("C236"))</f>
        <v>1</v>
      </c>
      <c r="AB236" s="61">
        <f ca="1">COUNTBLANK(INDIRECT("D236"))</f>
        <v>1</v>
      </c>
      <c r="AC236" s="61">
        <f ca="1">COUNTBLANK(INDIRECT("e236"))</f>
        <v>1</v>
      </c>
      <c r="AD236" s="61">
        <f ca="1">COUNTBLANK(INDIRECT("f236"))</f>
        <v>1</v>
      </c>
      <c r="AE236" s="61">
        <f ca="1">COUNTBLANK(INDIRECT("g236"))</f>
        <v>1</v>
      </c>
      <c r="AF236" s="61">
        <f ca="1">COUNTBLANK(INDIRECT("h236"))</f>
        <v>1</v>
      </c>
      <c r="AG236" s="61">
        <f ca="1">COUNTBLANK(INDIRECT("b236"))</f>
        <v>1</v>
      </c>
    </row>
    <row r="237" spans="1:33" x14ac:dyDescent="0.25">
      <c r="A237" s="2">
        <v>57</v>
      </c>
      <c r="B237" s="63"/>
      <c r="C237" s="56"/>
      <c r="D237" s="56"/>
      <c r="E237" s="56"/>
      <c r="F237" s="56"/>
      <c r="G237" s="56"/>
      <c r="H237" s="56"/>
      <c r="I237" s="108" t="str">
        <f ca="1">IF(AND(INDIRECT("H237")&gt;=INDIRECT("F237"),AA237=0,AB237=0,AC237=0,AF237=0),"Yes",IF(AND(INDIRECT("H237")&lt;INDIRECT("F237"),AA237=0,AB237=0,AC237=0,AF237=0),"No","N/A"))</f>
        <v>N/A</v>
      </c>
      <c r="J237" s="174" t="str">
        <f t="shared" ca="1" si="14"/>
        <v>No Error</v>
      </c>
      <c r="K237" s="174"/>
      <c r="L237" s="174"/>
      <c r="AA237" s="61">
        <f ca="1">COUNTBLANK(INDIRECT("C237"))</f>
        <v>1</v>
      </c>
      <c r="AB237" s="61">
        <f ca="1">COUNTBLANK(INDIRECT("D237"))</f>
        <v>1</v>
      </c>
      <c r="AC237" s="61">
        <f ca="1">COUNTBLANK(INDIRECT("e237"))</f>
        <v>1</v>
      </c>
      <c r="AD237" s="61">
        <f ca="1">COUNTBLANK(INDIRECT("f237"))</f>
        <v>1</v>
      </c>
      <c r="AE237" s="61">
        <f ca="1">COUNTBLANK(INDIRECT("g237"))</f>
        <v>1</v>
      </c>
      <c r="AF237" s="61">
        <f ca="1">COUNTBLANK(INDIRECT("h237"))</f>
        <v>1</v>
      </c>
      <c r="AG237" s="61">
        <f ca="1">COUNTBLANK(INDIRECT("b237"))</f>
        <v>1</v>
      </c>
    </row>
    <row r="238" spans="1:33" x14ac:dyDescent="0.25">
      <c r="A238" s="2">
        <v>58</v>
      </c>
      <c r="B238" s="63"/>
      <c r="C238" s="56"/>
      <c r="D238" s="56"/>
      <c r="E238" s="56"/>
      <c r="F238" s="56"/>
      <c r="G238" s="56"/>
      <c r="H238" s="56"/>
      <c r="I238" s="108" t="str">
        <f ca="1">IF(AND(INDIRECT("H238")&gt;=INDIRECT("F238"),AA238=0,AB238=0,AC238=0,AF238=0),"Yes",IF(AND(INDIRECT("H238")&lt;INDIRECT("F238"),AA238=0,AB238=0,AC238=0,AF238=0),"No","N/A"))</f>
        <v>N/A</v>
      </c>
      <c r="J238" s="174" t="str">
        <f t="shared" ca="1" si="14"/>
        <v>No Error</v>
      </c>
      <c r="K238" s="174"/>
      <c r="L238" s="174"/>
      <c r="AA238" s="61">
        <f ca="1">COUNTBLANK(INDIRECT("C238"))</f>
        <v>1</v>
      </c>
      <c r="AB238" s="61">
        <f ca="1">COUNTBLANK(INDIRECT("D238"))</f>
        <v>1</v>
      </c>
      <c r="AC238" s="61">
        <f ca="1">COUNTBLANK(INDIRECT("e238"))</f>
        <v>1</v>
      </c>
      <c r="AD238" s="61">
        <f ca="1">COUNTBLANK(INDIRECT("f238"))</f>
        <v>1</v>
      </c>
      <c r="AE238" s="61">
        <f ca="1">COUNTBLANK(INDIRECT("g238"))</f>
        <v>1</v>
      </c>
      <c r="AF238" s="61">
        <f ca="1">COUNTBLANK(INDIRECT("h238"))</f>
        <v>1</v>
      </c>
      <c r="AG238" s="61">
        <f ca="1">COUNTBLANK(INDIRECT("b238"))</f>
        <v>1</v>
      </c>
    </row>
    <row r="239" spans="1:33" x14ac:dyDescent="0.25">
      <c r="A239" s="2">
        <v>59</v>
      </c>
      <c r="B239" s="63"/>
      <c r="C239" s="56"/>
      <c r="D239" s="56"/>
      <c r="E239" s="56"/>
      <c r="F239" s="56"/>
      <c r="G239" s="56"/>
      <c r="H239" s="56"/>
      <c r="I239" s="108" t="str">
        <f ca="1">IF(AND(INDIRECT("H239")&gt;=INDIRECT("F239"),AA239=0,AB239=0,AC239=0,AF239=0),"Yes",IF(AND(INDIRECT("H239")&lt;INDIRECT("F239"),AA239=0,AB239=0,AC239=0,AF239=0),"No","N/A"))</f>
        <v>N/A</v>
      </c>
      <c r="J239" s="174" t="str">
        <f t="shared" ca="1" si="14"/>
        <v>No Error</v>
      </c>
      <c r="K239" s="174"/>
      <c r="L239" s="174"/>
      <c r="AA239" s="61">
        <f ca="1">COUNTBLANK(INDIRECT("C239"))</f>
        <v>1</v>
      </c>
      <c r="AB239" s="61">
        <f ca="1">COUNTBLANK(INDIRECT("D239"))</f>
        <v>1</v>
      </c>
      <c r="AC239" s="61">
        <f ca="1">COUNTBLANK(INDIRECT("e239"))</f>
        <v>1</v>
      </c>
      <c r="AD239" s="61">
        <f ca="1">COUNTBLANK(INDIRECT("f239"))</f>
        <v>1</v>
      </c>
      <c r="AE239" s="61">
        <f ca="1">COUNTBLANK(INDIRECT("g239"))</f>
        <v>1</v>
      </c>
      <c r="AF239" s="61">
        <f ca="1">COUNTBLANK(INDIRECT("h239"))</f>
        <v>1</v>
      </c>
      <c r="AG239" s="61">
        <f ca="1">COUNTBLANK(INDIRECT("b239"))</f>
        <v>1</v>
      </c>
    </row>
    <row r="240" spans="1:33" x14ac:dyDescent="0.25">
      <c r="A240" s="2">
        <v>60</v>
      </c>
      <c r="B240" s="63"/>
      <c r="C240" s="56"/>
      <c r="D240" s="56"/>
      <c r="E240" s="56"/>
      <c r="F240" s="56"/>
      <c r="G240" s="56"/>
      <c r="H240" s="56"/>
      <c r="I240" s="108" t="str">
        <f ca="1">IF(AND(INDIRECT("H240")&gt;=INDIRECT("F240"),AA240=0,AB240=0,AC240=0,AF240=0),"Yes",IF(AND(INDIRECT("H240")&lt;INDIRECT("F240"),AA240=0,AB240=0,AC240=0,AF240=0),"No","N/A"))</f>
        <v>N/A</v>
      </c>
      <c r="J240" s="174" t="str">
        <f t="shared" ca="1" si="14"/>
        <v>No Error</v>
      </c>
      <c r="K240" s="174"/>
      <c r="L240" s="174"/>
      <c r="AA240" s="61">
        <f ca="1">COUNTBLANK(INDIRECT("C240"))</f>
        <v>1</v>
      </c>
      <c r="AB240" s="61">
        <f ca="1">COUNTBLANK(INDIRECT("D240"))</f>
        <v>1</v>
      </c>
      <c r="AC240" s="61">
        <f ca="1">COUNTBLANK(INDIRECT("e240"))</f>
        <v>1</v>
      </c>
      <c r="AD240" s="61">
        <f ca="1">COUNTBLANK(INDIRECT("f240"))</f>
        <v>1</v>
      </c>
      <c r="AE240" s="61">
        <f ca="1">COUNTBLANK(INDIRECT("g240"))</f>
        <v>1</v>
      </c>
      <c r="AF240" s="61">
        <f ca="1">COUNTBLANK(INDIRECT("h240"))</f>
        <v>1</v>
      </c>
      <c r="AG240" s="61">
        <f ca="1">COUNTBLANK(INDIRECT("b240"))</f>
        <v>1</v>
      </c>
    </row>
    <row r="241" spans="1:33" x14ac:dyDescent="0.25">
      <c r="A241" s="2">
        <v>61</v>
      </c>
      <c r="B241" s="63"/>
      <c r="C241" s="56"/>
      <c r="D241" s="56"/>
      <c r="E241" s="56"/>
      <c r="F241" s="56"/>
      <c r="G241" s="56"/>
      <c r="H241" s="56"/>
      <c r="I241" s="108" t="str">
        <f ca="1">IF(AND(INDIRECT("H241")&gt;=INDIRECT("F241"),AA241=0,AB241=0,AC241=0,AF241=0),"Yes",IF(AND(INDIRECT("H241")&lt;INDIRECT("F241"),AA241=0,AB241=0,AC241=0,AF241=0),"No","N/A"))</f>
        <v>N/A</v>
      </c>
      <c r="J241" s="174" t="str">
        <f t="shared" ca="1" si="14"/>
        <v>No Error</v>
      </c>
      <c r="K241" s="174"/>
      <c r="L241" s="174"/>
      <c r="AA241" s="61">
        <f ca="1">COUNTBLANK(INDIRECT("C241"))</f>
        <v>1</v>
      </c>
      <c r="AB241" s="61">
        <f ca="1">COUNTBLANK(INDIRECT("D241"))</f>
        <v>1</v>
      </c>
      <c r="AC241" s="61">
        <f ca="1">COUNTBLANK(INDIRECT("e241"))</f>
        <v>1</v>
      </c>
      <c r="AD241" s="61">
        <f ca="1">COUNTBLANK(INDIRECT("f241"))</f>
        <v>1</v>
      </c>
      <c r="AE241" s="61">
        <f ca="1">COUNTBLANK(INDIRECT("g241"))</f>
        <v>1</v>
      </c>
      <c r="AF241" s="61">
        <f ca="1">COUNTBLANK(INDIRECT("h241"))</f>
        <v>1</v>
      </c>
      <c r="AG241" s="61">
        <f ca="1">COUNTBLANK(INDIRECT("b241"))</f>
        <v>1</v>
      </c>
    </row>
    <row r="242" spans="1:33" x14ac:dyDescent="0.25">
      <c r="A242" s="2">
        <v>62</v>
      </c>
      <c r="B242" s="63"/>
      <c r="C242" s="56"/>
      <c r="D242" s="56"/>
      <c r="E242" s="56"/>
      <c r="F242" s="56"/>
      <c r="G242" s="56"/>
      <c r="H242" s="56"/>
      <c r="I242" s="109" t="str">
        <f ca="1">IF(AND(INDIRECT("H242")&gt;=INDIRECT("F242"),AA242=0,AB242=0,AC242=0,AF242=0),"Yes",IF(AND(INDIRECT("H242")&lt;INDIRECT("F242"),AA242=0,AB242=0,AC242=0,AF242=0),"No","N/A"))</f>
        <v>N/A</v>
      </c>
      <c r="J242" s="174" t="str">
        <f t="shared" ca="1" si="14"/>
        <v>No Error</v>
      </c>
      <c r="K242" s="174"/>
      <c r="L242" s="174"/>
      <c r="AA242" s="61">
        <f ca="1">COUNTBLANK(INDIRECT("C242"))</f>
        <v>1</v>
      </c>
      <c r="AB242" s="61">
        <f ca="1">COUNTBLANK(INDIRECT("D242"))</f>
        <v>1</v>
      </c>
      <c r="AC242" s="61">
        <f ca="1">COUNTBLANK(INDIRECT("e242"))</f>
        <v>1</v>
      </c>
      <c r="AD242" s="61">
        <f ca="1">COUNTBLANK(INDIRECT("f242"))</f>
        <v>1</v>
      </c>
      <c r="AE242" s="61">
        <f ca="1">COUNTBLANK(INDIRECT("g242"))</f>
        <v>1</v>
      </c>
      <c r="AF242" s="61">
        <f ca="1">COUNTBLANK(INDIRECT("h242"))</f>
        <v>1</v>
      </c>
      <c r="AG242" s="61">
        <f ca="1">COUNTBLANK(INDIRECT("b242"))</f>
        <v>1</v>
      </c>
    </row>
    <row r="243" spans="1:33" x14ac:dyDescent="0.25">
      <c r="A243" s="2">
        <v>63</v>
      </c>
      <c r="B243" s="63"/>
      <c r="C243" s="56"/>
      <c r="D243" s="56"/>
      <c r="E243" s="56"/>
      <c r="F243" s="56"/>
      <c r="G243" s="56"/>
      <c r="H243" s="56"/>
      <c r="I243" s="109" t="str">
        <f ca="1">IF(AND(INDIRECT("H243")&gt;=INDIRECT("F243"),AA243=0,AB243=0,AC243=0,AF243=0),"Yes",IF(AND(INDIRECT("H243")&lt;INDIRECT("F243"),AA243=0,AB243=0,AC243=0,AF243=0),"No","N/A"))</f>
        <v>N/A</v>
      </c>
      <c r="J243" s="174" t="str">
        <f t="shared" ca="1" si="14"/>
        <v>No Error</v>
      </c>
      <c r="K243" s="174"/>
      <c r="L243" s="174"/>
      <c r="AA243" s="61">
        <f ca="1">COUNTBLANK(INDIRECT("C243"))</f>
        <v>1</v>
      </c>
      <c r="AB243" s="61">
        <f ca="1">COUNTBLANK(INDIRECT("D243"))</f>
        <v>1</v>
      </c>
      <c r="AC243" s="61">
        <f ca="1">COUNTBLANK(INDIRECT("e243"))</f>
        <v>1</v>
      </c>
      <c r="AD243" s="61">
        <f ca="1">COUNTBLANK(INDIRECT("f243"))</f>
        <v>1</v>
      </c>
      <c r="AE243" s="61">
        <f ca="1">COUNTBLANK(INDIRECT("g243"))</f>
        <v>1</v>
      </c>
      <c r="AF243" s="61">
        <f ca="1">COUNTBLANK(INDIRECT("h243"))</f>
        <v>1</v>
      </c>
      <c r="AG243" s="61">
        <f ca="1">COUNTBLANK(INDIRECT("b243"))</f>
        <v>1</v>
      </c>
    </row>
    <row r="244" spans="1:33" x14ac:dyDescent="0.25">
      <c r="A244" s="2">
        <v>64</v>
      </c>
      <c r="B244" s="63"/>
      <c r="C244" s="56"/>
      <c r="D244" s="56"/>
      <c r="E244" s="56"/>
      <c r="F244" s="56"/>
      <c r="G244" s="56"/>
      <c r="H244" s="56"/>
      <c r="I244" s="109" t="str">
        <f ca="1">IF(AND(INDIRECT("H244")&gt;=INDIRECT("F244"),AA244=0,AB244=0,AC244=0,AF244=0),"Yes",IF(AND(INDIRECT("H244")&lt;INDIRECT("F244"),AA244=0,AB244=0,AC244=0,AF244=0),"No","N/A"))</f>
        <v>N/A</v>
      </c>
      <c r="J244" s="174" t="str">
        <f t="shared" ca="1" si="14"/>
        <v>No Error</v>
      </c>
      <c r="K244" s="174"/>
      <c r="L244" s="174"/>
      <c r="AA244" s="61">
        <f ca="1">COUNTBLANK(INDIRECT("C244"))</f>
        <v>1</v>
      </c>
      <c r="AB244" s="61">
        <f ca="1">COUNTBLANK(INDIRECT("D244"))</f>
        <v>1</v>
      </c>
      <c r="AC244" s="61">
        <f ca="1">COUNTBLANK(INDIRECT("e244"))</f>
        <v>1</v>
      </c>
      <c r="AD244" s="61">
        <f ca="1">COUNTBLANK(INDIRECT("f244"))</f>
        <v>1</v>
      </c>
      <c r="AE244" s="61">
        <f ca="1">COUNTBLANK(INDIRECT("g244"))</f>
        <v>1</v>
      </c>
      <c r="AF244" s="61">
        <f ca="1">COUNTBLANK(INDIRECT("h244"))</f>
        <v>1</v>
      </c>
      <c r="AG244" s="61">
        <f ca="1">COUNTBLANK(INDIRECT("b244"))</f>
        <v>1</v>
      </c>
    </row>
    <row r="245" spans="1:33" x14ac:dyDescent="0.25">
      <c r="A245" s="2">
        <v>65</v>
      </c>
      <c r="B245" s="63"/>
      <c r="C245" s="56"/>
      <c r="D245" s="56"/>
      <c r="E245" s="56"/>
      <c r="F245" s="56"/>
      <c r="G245" s="56"/>
      <c r="H245" s="56"/>
      <c r="I245" s="109" t="str">
        <f ca="1">IF(AND(INDIRECT("H245")&gt;=INDIRECT("F245"),AA245=0,AB245=0,AC245=0,AF245=0),"Yes",IF(AND(INDIRECT("H245")&lt;INDIRECT("F245"),AA245=0,AB245=0,AC245=0,AF245=0),"No","N/A"))</f>
        <v>N/A</v>
      </c>
      <c r="J245" s="174" t="str">
        <f t="shared" ca="1" si="14"/>
        <v>No Error</v>
      </c>
      <c r="K245" s="174"/>
      <c r="L245" s="174"/>
      <c r="AA245" s="61">
        <f ca="1">COUNTBLANK(INDIRECT("C245"))</f>
        <v>1</v>
      </c>
      <c r="AB245" s="61">
        <f ca="1">COUNTBLANK(INDIRECT("D245"))</f>
        <v>1</v>
      </c>
      <c r="AC245" s="61">
        <f ca="1">COUNTBLANK(INDIRECT("e245"))</f>
        <v>1</v>
      </c>
      <c r="AD245" s="61">
        <f ca="1">COUNTBLANK(INDIRECT("f245"))</f>
        <v>1</v>
      </c>
      <c r="AE245" s="61">
        <f ca="1">COUNTBLANK(INDIRECT("g245"))</f>
        <v>1</v>
      </c>
      <c r="AF245" s="61">
        <f ca="1">COUNTBLANK(INDIRECT("h245"))</f>
        <v>1</v>
      </c>
      <c r="AG245" s="61">
        <f ca="1">COUNTBLANK(INDIRECT("b245"))</f>
        <v>1</v>
      </c>
    </row>
    <row r="246" spans="1:33" x14ac:dyDescent="0.25">
      <c r="A246" s="2">
        <v>66</v>
      </c>
      <c r="B246" s="63"/>
      <c r="C246" s="56"/>
      <c r="D246" s="56"/>
      <c r="E246" s="56"/>
      <c r="F246" s="56"/>
      <c r="G246" s="56"/>
      <c r="H246" s="56"/>
      <c r="I246" s="109" t="str">
        <f ca="1">IF(AND(INDIRECT("H246")&gt;=INDIRECT("F246"),AA246=0,AB246=0,AC246=0,AF246=0),"Yes",IF(AND(INDIRECT("H246")&lt;INDIRECT("F246"),AA246=0,AB246=0,AC246=0,AF246=0),"No","N/A"))</f>
        <v>N/A</v>
      </c>
      <c r="J246" s="174" t="str">
        <f t="shared" ca="1" si="14"/>
        <v>No Error</v>
      </c>
      <c r="K246" s="174"/>
      <c r="L246" s="174"/>
      <c r="AA246" s="61">
        <f ca="1">COUNTBLANK(INDIRECT("C246"))</f>
        <v>1</v>
      </c>
      <c r="AB246" s="61">
        <f ca="1">COUNTBLANK(INDIRECT("D246"))</f>
        <v>1</v>
      </c>
      <c r="AC246" s="61">
        <f ca="1">COUNTBLANK(INDIRECT("e246"))</f>
        <v>1</v>
      </c>
      <c r="AD246" s="61">
        <f ca="1">COUNTBLANK(INDIRECT("f246"))</f>
        <v>1</v>
      </c>
      <c r="AE246" s="61">
        <f ca="1">COUNTBLANK(INDIRECT("g246"))</f>
        <v>1</v>
      </c>
      <c r="AF246" s="61">
        <f ca="1">COUNTBLANK(INDIRECT("h246"))</f>
        <v>1</v>
      </c>
      <c r="AG246" s="61">
        <f ca="1">COUNTBLANK(INDIRECT("b246"))</f>
        <v>1</v>
      </c>
    </row>
    <row r="247" spans="1:33" x14ac:dyDescent="0.25">
      <c r="A247" s="2">
        <v>67</v>
      </c>
      <c r="B247" s="63"/>
      <c r="C247" s="56"/>
      <c r="D247" s="56"/>
      <c r="E247" s="56"/>
      <c r="F247" s="56"/>
      <c r="G247" s="56"/>
      <c r="H247" s="56"/>
      <c r="I247" s="109" t="str">
        <f ca="1">IF(AND(INDIRECT("H247")&gt;=INDIRECT("F247"),AA247=0,AB247=0,AC247=0,AF247=0),"Yes",IF(AND(INDIRECT("H247")&lt;INDIRECT("F247"),AA247=0,AB247=0,AC247=0,AF247=0),"No","N/A"))</f>
        <v>N/A</v>
      </c>
      <c r="J247" s="174" t="str">
        <f t="shared" ca="1" si="14"/>
        <v>No Error</v>
      </c>
      <c r="K247" s="174"/>
      <c r="L247" s="174"/>
      <c r="AA247" s="61">
        <f ca="1">COUNTBLANK(INDIRECT("C247"))</f>
        <v>1</v>
      </c>
      <c r="AB247" s="61">
        <f ca="1">COUNTBLANK(INDIRECT("D247"))</f>
        <v>1</v>
      </c>
      <c r="AC247" s="61">
        <f ca="1">COUNTBLANK(INDIRECT("e247"))</f>
        <v>1</v>
      </c>
      <c r="AD247" s="61">
        <f ca="1">COUNTBLANK(INDIRECT("f247"))</f>
        <v>1</v>
      </c>
      <c r="AE247" s="61">
        <f ca="1">COUNTBLANK(INDIRECT("g247"))</f>
        <v>1</v>
      </c>
      <c r="AF247" s="61">
        <f ca="1">COUNTBLANK(INDIRECT("h247"))</f>
        <v>1</v>
      </c>
      <c r="AG247" s="61">
        <f ca="1">COUNTBLANK(INDIRECT("b247"))</f>
        <v>1</v>
      </c>
    </row>
    <row r="248" spans="1:33" x14ac:dyDescent="0.25">
      <c r="A248" s="2">
        <v>68</v>
      </c>
      <c r="B248" s="63"/>
      <c r="C248" s="56"/>
      <c r="D248" s="56"/>
      <c r="E248" s="56"/>
      <c r="F248" s="56"/>
      <c r="G248" s="56"/>
      <c r="H248" s="56"/>
      <c r="I248" s="109" t="str">
        <f ca="1">IF(AND(INDIRECT("H248")&gt;=INDIRECT("F248"),AA248=0,AB248=0,AC248=0,AF248=0),"Yes",IF(AND(INDIRECT("H248")&lt;INDIRECT("F248"),AA248=0,AB248=0,AC248=0,AF248=0),"No","N/A"))</f>
        <v>N/A</v>
      </c>
      <c r="J248" s="174" t="str">
        <f t="shared" ca="1" si="14"/>
        <v>No Error</v>
      </c>
      <c r="K248" s="174"/>
      <c r="L248" s="174"/>
      <c r="AA248" s="61">
        <f ca="1">COUNTBLANK(INDIRECT("C248"))</f>
        <v>1</v>
      </c>
      <c r="AB248" s="61">
        <f ca="1">COUNTBLANK(INDIRECT("D248"))</f>
        <v>1</v>
      </c>
      <c r="AC248" s="61">
        <f ca="1">COUNTBLANK(INDIRECT("e248"))</f>
        <v>1</v>
      </c>
      <c r="AD248" s="61">
        <f ca="1">COUNTBLANK(INDIRECT("f248"))</f>
        <v>1</v>
      </c>
      <c r="AE248" s="61">
        <f ca="1">COUNTBLANK(INDIRECT("g248"))</f>
        <v>1</v>
      </c>
      <c r="AF248" s="61">
        <f ca="1">COUNTBLANK(INDIRECT("h248"))</f>
        <v>1</v>
      </c>
      <c r="AG248" s="61">
        <f ca="1">COUNTBLANK(INDIRECT("b248"))</f>
        <v>1</v>
      </c>
    </row>
    <row r="249" spans="1:33" x14ac:dyDescent="0.25">
      <c r="A249" s="2">
        <v>69</v>
      </c>
      <c r="B249" s="63"/>
      <c r="C249" s="56"/>
      <c r="D249" s="56"/>
      <c r="E249" s="56"/>
      <c r="F249" s="56"/>
      <c r="G249" s="56"/>
      <c r="H249" s="56"/>
      <c r="I249" s="109" t="str">
        <f ca="1">IF(AND(INDIRECT("H249")&gt;=INDIRECT("F249"),AA249=0,AB249=0,AC249=0,AF249=0),"Yes",IF(AND(INDIRECT("H249")&lt;INDIRECT("F249"),AA249=0,AB249=0,AC249=0,AF249=0),"No","N/A"))</f>
        <v>N/A</v>
      </c>
      <c r="J249" s="174" t="str">
        <f t="shared" ca="1" si="14"/>
        <v>No Error</v>
      </c>
      <c r="K249" s="174"/>
      <c r="L249" s="174"/>
      <c r="AA249" s="61">
        <f ca="1">COUNTBLANK(INDIRECT("C249"))</f>
        <v>1</v>
      </c>
      <c r="AB249" s="61">
        <f ca="1">COUNTBLANK(INDIRECT("D249"))</f>
        <v>1</v>
      </c>
      <c r="AC249" s="61">
        <f ca="1">COUNTBLANK(INDIRECT("e249"))</f>
        <v>1</v>
      </c>
      <c r="AD249" s="61">
        <f ca="1">COUNTBLANK(INDIRECT("f249"))</f>
        <v>1</v>
      </c>
      <c r="AE249" s="61">
        <f ca="1">COUNTBLANK(INDIRECT("g249"))</f>
        <v>1</v>
      </c>
      <c r="AF249" s="61">
        <f ca="1">COUNTBLANK(INDIRECT("h249"))</f>
        <v>1</v>
      </c>
      <c r="AG249" s="61">
        <f ca="1">COUNTBLANK(INDIRECT("b249"))</f>
        <v>1</v>
      </c>
    </row>
    <row r="250" spans="1:33" x14ac:dyDescent="0.25">
      <c r="A250" s="2">
        <v>70</v>
      </c>
      <c r="B250" s="63"/>
      <c r="C250" s="56"/>
      <c r="D250" s="56"/>
      <c r="E250" s="56"/>
      <c r="F250" s="56"/>
      <c r="G250" s="56"/>
      <c r="H250" s="56"/>
      <c r="I250" s="109" t="str">
        <f ca="1">IF(AND(INDIRECT("H250")&gt;=INDIRECT("F250"),AA250=0,AB250=0,AC250=0,AF250=0),"Yes",IF(AND(INDIRECT("H250")&lt;INDIRECT("F250"),AA250=0,AB250=0,AC250=0,AF250=0),"No","N/A"))</f>
        <v>N/A</v>
      </c>
      <c r="J250" s="174" t="str">
        <f t="shared" ca="1" si="14"/>
        <v>No Error</v>
      </c>
      <c r="K250" s="174"/>
      <c r="L250" s="174"/>
      <c r="AA250" s="61">
        <f ca="1">COUNTBLANK(INDIRECT("C250"))</f>
        <v>1</v>
      </c>
      <c r="AB250" s="61">
        <f ca="1">COUNTBLANK(INDIRECT("D250"))</f>
        <v>1</v>
      </c>
      <c r="AC250" s="61">
        <f ca="1">COUNTBLANK(INDIRECT("e250"))</f>
        <v>1</v>
      </c>
      <c r="AD250" s="61">
        <f ca="1">COUNTBLANK(INDIRECT("f250"))</f>
        <v>1</v>
      </c>
      <c r="AE250" s="61">
        <f ca="1">COUNTBLANK(INDIRECT("g250"))</f>
        <v>1</v>
      </c>
      <c r="AF250" s="61">
        <f ca="1">COUNTBLANK(INDIRECT("h250"))</f>
        <v>1</v>
      </c>
      <c r="AG250" s="61">
        <f ca="1">COUNTBLANK(INDIRECT("b250"))</f>
        <v>1</v>
      </c>
    </row>
    <row r="251" spans="1:33" x14ac:dyDescent="0.25">
      <c r="A251" s="2">
        <v>71</v>
      </c>
      <c r="B251" s="63"/>
      <c r="C251" s="56"/>
      <c r="D251" s="56"/>
      <c r="E251" s="56"/>
      <c r="F251" s="56"/>
      <c r="G251" s="56"/>
      <c r="H251" s="56"/>
      <c r="I251" s="109" t="str">
        <f ca="1">IF(AND(INDIRECT("H251")&gt;=INDIRECT("F251"),AA251=0,AB251=0,AC251=0,AF251=0),"Yes",IF(AND(INDIRECT("H251")&lt;INDIRECT("F251"),AA251=0,AB251=0,AC251=0,AF251=0),"No","N/A"))</f>
        <v>N/A</v>
      </c>
      <c r="J251" s="174" t="str">
        <f t="shared" ca="1" si="14"/>
        <v>No Error</v>
      </c>
      <c r="K251" s="174"/>
      <c r="L251" s="174"/>
      <c r="AA251" s="61">
        <f ca="1">COUNTBLANK(INDIRECT("C251"))</f>
        <v>1</v>
      </c>
      <c r="AB251" s="61">
        <f ca="1">COUNTBLANK(INDIRECT("D251"))</f>
        <v>1</v>
      </c>
      <c r="AC251" s="61">
        <f ca="1">COUNTBLANK(INDIRECT("e251"))</f>
        <v>1</v>
      </c>
      <c r="AD251" s="61">
        <f ca="1">COUNTBLANK(INDIRECT("f251"))</f>
        <v>1</v>
      </c>
      <c r="AE251" s="61">
        <f ca="1">COUNTBLANK(INDIRECT("g251"))</f>
        <v>1</v>
      </c>
      <c r="AF251" s="61">
        <f ca="1">COUNTBLANK(INDIRECT("h251"))</f>
        <v>1</v>
      </c>
      <c r="AG251" s="61">
        <f ca="1">COUNTBLANK(INDIRECT("b251"))</f>
        <v>1</v>
      </c>
    </row>
    <row r="252" spans="1:33" x14ac:dyDescent="0.25">
      <c r="A252" s="2">
        <v>72</v>
      </c>
      <c r="B252" s="63"/>
      <c r="C252" s="56"/>
      <c r="D252" s="56"/>
      <c r="E252" s="56"/>
      <c r="F252" s="56"/>
      <c r="G252" s="56"/>
      <c r="H252" s="56"/>
      <c r="I252" s="109" t="str">
        <f ca="1">IF(AND(INDIRECT("H252")&gt;=INDIRECT("F252"),AA252=0,AB252=0,AC252=0,AF252=0),"Yes",IF(AND(INDIRECT("H252")&lt;INDIRECT("F252"),AA252=0,AB252=0,AC252=0,AF252=0),"No","N/A"))</f>
        <v>N/A</v>
      </c>
      <c r="J252" s="174" t="str">
        <f t="shared" ca="1" si="14"/>
        <v>No Error</v>
      </c>
      <c r="K252" s="174"/>
      <c r="L252" s="174"/>
      <c r="AA252" s="61">
        <f ca="1">COUNTBLANK(INDIRECT("C252"))</f>
        <v>1</v>
      </c>
      <c r="AB252" s="61">
        <f ca="1">COUNTBLANK(INDIRECT("D252"))</f>
        <v>1</v>
      </c>
      <c r="AC252" s="61">
        <f ca="1">COUNTBLANK(INDIRECT("e252"))</f>
        <v>1</v>
      </c>
      <c r="AD252" s="61">
        <f ca="1">COUNTBLANK(INDIRECT("f252"))</f>
        <v>1</v>
      </c>
      <c r="AE252" s="61">
        <f ca="1">COUNTBLANK(INDIRECT("g252"))</f>
        <v>1</v>
      </c>
      <c r="AF252" s="61">
        <f ca="1">COUNTBLANK(INDIRECT("h252"))</f>
        <v>1</v>
      </c>
      <c r="AG252" s="61">
        <f ca="1">COUNTBLANK(INDIRECT("b252"))</f>
        <v>1</v>
      </c>
    </row>
    <row r="253" spans="1:33" x14ac:dyDescent="0.25">
      <c r="A253" s="2">
        <v>73</v>
      </c>
      <c r="B253" s="63"/>
      <c r="C253" s="56"/>
      <c r="D253" s="56"/>
      <c r="E253" s="56"/>
      <c r="F253" s="56"/>
      <c r="G253" s="56"/>
      <c r="H253" s="56"/>
      <c r="I253" s="109" t="str">
        <f ca="1">IF(AND(INDIRECT("H253")&gt;=INDIRECT("F253"),AA253=0,AB253=0,AC253=0,AF253=0),"Yes",IF(AND(INDIRECT("H253")&lt;INDIRECT("F253"),AA253=0,AB253=0,AC253=0,AF253=0),"No","N/A"))</f>
        <v>N/A</v>
      </c>
      <c r="J253" s="174" t="str">
        <f t="shared" ca="1" si="14"/>
        <v>No Error</v>
      </c>
      <c r="K253" s="174"/>
      <c r="L253" s="174"/>
      <c r="AA253" s="61">
        <f ca="1">COUNTBLANK(INDIRECT("C253"))</f>
        <v>1</v>
      </c>
      <c r="AB253" s="61">
        <f ca="1">COUNTBLANK(INDIRECT("D253"))</f>
        <v>1</v>
      </c>
      <c r="AC253" s="61">
        <f ca="1">COUNTBLANK(INDIRECT("e253"))</f>
        <v>1</v>
      </c>
      <c r="AD253" s="61">
        <f ca="1">COUNTBLANK(INDIRECT("f253"))</f>
        <v>1</v>
      </c>
      <c r="AE253" s="61">
        <f ca="1">COUNTBLANK(INDIRECT("g253"))</f>
        <v>1</v>
      </c>
      <c r="AF253" s="61">
        <f ca="1">COUNTBLANK(INDIRECT("h253"))</f>
        <v>1</v>
      </c>
      <c r="AG253" s="61">
        <f ca="1">COUNTBLANK(INDIRECT("b253"))</f>
        <v>1</v>
      </c>
    </row>
    <row r="254" spans="1:33" x14ac:dyDescent="0.25">
      <c r="A254" s="2">
        <v>74</v>
      </c>
      <c r="B254" s="63"/>
      <c r="C254" s="56"/>
      <c r="D254" s="56"/>
      <c r="E254" s="56"/>
      <c r="F254" s="56"/>
      <c r="G254" s="56"/>
      <c r="H254" s="56"/>
      <c r="I254" s="109" t="str">
        <f ca="1">IF(AND(INDIRECT("H254")&gt;=INDIRECT("F254"),AA254=0,AB254=0,AC254=0,AF254=0),"Yes",IF(AND(INDIRECT("H254")&lt;INDIRECT("F254"),AA254=0,AB254=0,AC254=0,AF254=0),"No","N/A"))</f>
        <v>N/A</v>
      </c>
      <c r="J254" s="174" t="str">
        <f t="shared" ca="1" si="14"/>
        <v>No Error</v>
      </c>
      <c r="K254" s="174"/>
      <c r="L254" s="174"/>
      <c r="AA254" s="61">
        <f ca="1">COUNTBLANK(INDIRECT("C254"))</f>
        <v>1</v>
      </c>
      <c r="AB254" s="61">
        <f ca="1">COUNTBLANK(INDIRECT("D254"))</f>
        <v>1</v>
      </c>
      <c r="AC254" s="61">
        <f ca="1">COUNTBLANK(INDIRECT("e254"))</f>
        <v>1</v>
      </c>
      <c r="AD254" s="61">
        <f ca="1">COUNTBLANK(INDIRECT("f254"))</f>
        <v>1</v>
      </c>
      <c r="AE254" s="61">
        <f ca="1">COUNTBLANK(INDIRECT("g254"))</f>
        <v>1</v>
      </c>
      <c r="AF254" s="61">
        <f ca="1">COUNTBLANK(INDIRECT("h254"))</f>
        <v>1</v>
      </c>
      <c r="AG254" s="61">
        <f ca="1">COUNTBLANK(INDIRECT("b254"))</f>
        <v>1</v>
      </c>
    </row>
    <row r="255" spans="1:33" x14ac:dyDescent="0.25">
      <c r="A255" s="2">
        <v>75</v>
      </c>
      <c r="B255" s="63"/>
      <c r="C255" s="56"/>
      <c r="D255" s="56"/>
      <c r="E255" s="56"/>
      <c r="F255" s="56"/>
      <c r="G255" s="56"/>
      <c r="H255" s="56"/>
      <c r="I255" s="109" t="str">
        <f ca="1">IF(AND(INDIRECT("H255")&gt;=INDIRECT("F255"),AA255=0,AB255=0,AC255=0,AF255=0),"Yes",IF(AND(INDIRECT("H255")&lt;INDIRECT("F255"),AA255=0,AB255=0,AC255=0,AF255=0),"No","N/A"))</f>
        <v>N/A</v>
      </c>
      <c r="J255" s="174" t="str">
        <f t="shared" ca="1" si="14"/>
        <v>No Error</v>
      </c>
      <c r="K255" s="174"/>
      <c r="L255" s="174"/>
      <c r="AA255" s="61">
        <f ca="1">COUNTBLANK(INDIRECT("C255"))</f>
        <v>1</v>
      </c>
      <c r="AB255" s="61">
        <f ca="1">COUNTBLANK(INDIRECT("D255"))</f>
        <v>1</v>
      </c>
      <c r="AC255" s="61">
        <f ca="1">COUNTBLANK(INDIRECT("e255"))</f>
        <v>1</v>
      </c>
      <c r="AD255" s="61">
        <f ca="1">COUNTBLANK(INDIRECT("f255"))</f>
        <v>1</v>
      </c>
      <c r="AE255" s="61">
        <f ca="1">COUNTBLANK(INDIRECT("g255"))</f>
        <v>1</v>
      </c>
      <c r="AF255" s="61">
        <f ca="1">COUNTBLANK(INDIRECT("h255"))</f>
        <v>1</v>
      </c>
      <c r="AG255" s="61">
        <f ca="1">COUNTBLANK(INDIRECT("b255"))</f>
        <v>1</v>
      </c>
    </row>
    <row r="256" spans="1:33" x14ac:dyDescent="0.25">
      <c r="A256" s="2">
        <v>76</v>
      </c>
      <c r="B256" s="63"/>
      <c r="C256" s="56"/>
      <c r="D256" s="56"/>
      <c r="E256" s="56"/>
      <c r="F256" s="56"/>
      <c r="G256" s="56"/>
      <c r="H256" s="56"/>
      <c r="I256" s="109" t="str">
        <f ca="1">IF(AND(INDIRECT("H256")&gt;=INDIRECT("F256"),AA256=0,AB256=0,AC256=0,AF256=0),"Yes",IF(AND(INDIRECT("H256")&lt;INDIRECT("F256"),AA256=0,AB256=0,AC256=0,AF256=0),"No","N/A"))</f>
        <v>N/A</v>
      </c>
      <c r="J256" s="174" t="str">
        <f t="shared" ca="1" si="14"/>
        <v>No Error</v>
      </c>
      <c r="K256" s="174"/>
      <c r="L256" s="174"/>
      <c r="AA256" s="61">
        <f ca="1">COUNTBLANK(INDIRECT("C256"))</f>
        <v>1</v>
      </c>
      <c r="AB256" s="61">
        <f ca="1">COUNTBLANK(INDIRECT("D256"))</f>
        <v>1</v>
      </c>
      <c r="AC256" s="61">
        <f ca="1">COUNTBLANK(INDIRECT("e256"))</f>
        <v>1</v>
      </c>
      <c r="AD256" s="61">
        <f ca="1">COUNTBLANK(INDIRECT("f256"))</f>
        <v>1</v>
      </c>
      <c r="AE256" s="61">
        <f ca="1">COUNTBLANK(INDIRECT("g256"))</f>
        <v>1</v>
      </c>
      <c r="AF256" s="61">
        <f ca="1">COUNTBLANK(INDIRECT("h256"))</f>
        <v>1</v>
      </c>
      <c r="AG256" s="61">
        <f ca="1">COUNTBLANK(INDIRECT("b256"))</f>
        <v>1</v>
      </c>
    </row>
    <row r="257" spans="1:33" x14ac:dyDescent="0.25">
      <c r="A257" s="2">
        <v>77</v>
      </c>
      <c r="B257" s="63"/>
      <c r="C257" s="56"/>
      <c r="D257" s="56"/>
      <c r="E257" s="56"/>
      <c r="F257" s="56"/>
      <c r="G257" s="56"/>
      <c r="H257" s="56"/>
      <c r="I257" s="109" t="str">
        <f ca="1">IF(AND(INDIRECT("H257")&gt;=INDIRECT("F257"),AA257=0,AB257=0,AC257=0,AF257=0),"Yes",IF(AND(INDIRECT("H257")&lt;INDIRECT("F257"),AA257=0,AB257=0,AC257=0,AF257=0),"No","N/A"))</f>
        <v>N/A</v>
      </c>
      <c r="J257" s="174" t="str">
        <f t="shared" ca="1" si="14"/>
        <v>No Error</v>
      </c>
      <c r="K257" s="174"/>
      <c r="L257" s="174"/>
      <c r="AA257" s="61">
        <f ca="1">COUNTBLANK(INDIRECT("C257"))</f>
        <v>1</v>
      </c>
      <c r="AB257" s="61">
        <f ca="1">COUNTBLANK(INDIRECT("D257"))</f>
        <v>1</v>
      </c>
      <c r="AC257" s="61">
        <f ca="1">COUNTBLANK(INDIRECT("e257"))</f>
        <v>1</v>
      </c>
      <c r="AD257" s="61">
        <f ca="1">COUNTBLANK(INDIRECT("f257"))</f>
        <v>1</v>
      </c>
      <c r="AE257" s="61">
        <f ca="1">COUNTBLANK(INDIRECT("g257"))</f>
        <v>1</v>
      </c>
      <c r="AF257" s="61">
        <f ca="1">COUNTBLANK(INDIRECT("h257"))</f>
        <v>1</v>
      </c>
      <c r="AG257" s="61">
        <f ca="1">COUNTBLANK(INDIRECT("b257"))</f>
        <v>1</v>
      </c>
    </row>
    <row r="258" spans="1:33" x14ac:dyDescent="0.25">
      <c r="A258" s="2">
        <v>78</v>
      </c>
      <c r="B258" s="63"/>
      <c r="C258" s="56"/>
      <c r="D258" s="56"/>
      <c r="E258" s="56"/>
      <c r="F258" s="56"/>
      <c r="G258" s="56"/>
      <c r="H258" s="56"/>
      <c r="I258" s="109" t="str">
        <f ca="1">IF(AND(INDIRECT("H258")&gt;=INDIRECT("F258"),AA258=0,AB258=0,AC258=0,AF258=0),"Yes",IF(AND(INDIRECT("H258")&lt;INDIRECT("F258"),AA258=0,AB258=0,AC258=0,AF258=0),"No","N/A"))</f>
        <v>N/A</v>
      </c>
      <c r="J258" s="174" t="str">
        <f t="shared" ca="1" si="14"/>
        <v>No Error</v>
      </c>
      <c r="K258" s="174"/>
      <c r="L258" s="174"/>
      <c r="AA258" s="61">
        <f ca="1">COUNTBLANK(INDIRECT("C258"))</f>
        <v>1</v>
      </c>
      <c r="AB258" s="61">
        <f ca="1">COUNTBLANK(INDIRECT("D258"))</f>
        <v>1</v>
      </c>
      <c r="AC258" s="61">
        <f ca="1">COUNTBLANK(INDIRECT("e258"))</f>
        <v>1</v>
      </c>
      <c r="AD258" s="61">
        <f ca="1">COUNTBLANK(INDIRECT("f258"))</f>
        <v>1</v>
      </c>
      <c r="AE258" s="61">
        <f ca="1">COUNTBLANK(INDIRECT("g258"))</f>
        <v>1</v>
      </c>
      <c r="AF258" s="61">
        <f ca="1">COUNTBLANK(INDIRECT("h258"))</f>
        <v>1</v>
      </c>
      <c r="AG258" s="61">
        <f ca="1">COUNTBLANK(INDIRECT("b258"))</f>
        <v>1</v>
      </c>
    </row>
    <row r="259" spans="1:33" x14ac:dyDescent="0.25">
      <c r="A259" s="2">
        <v>79</v>
      </c>
      <c r="B259" s="63"/>
      <c r="C259" s="56"/>
      <c r="D259" s="56"/>
      <c r="E259" s="56"/>
      <c r="F259" s="56"/>
      <c r="G259" s="56"/>
      <c r="H259" s="56"/>
      <c r="I259" s="109" t="str">
        <f ca="1">IF(AND(INDIRECT("H259")&gt;=INDIRECT("F259"),AA259=0,AB259=0,AC259=0,AF259=0),"Yes",IF(AND(INDIRECT("H259")&lt;INDIRECT("F259"),AA259=0,AB259=0,AC259=0,AF259=0),"No","N/A"))</f>
        <v>N/A</v>
      </c>
      <c r="J259" s="174" t="str">
        <f t="shared" ca="1" si="14"/>
        <v>No Error</v>
      </c>
      <c r="K259" s="174"/>
      <c r="L259" s="174"/>
      <c r="AA259" s="61">
        <f ca="1">COUNTBLANK(INDIRECT("C259"))</f>
        <v>1</v>
      </c>
      <c r="AB259" s="61">
        <f ca="1">COUNTBLANK(INDIRECT("D259"))</f>
        <v>1</v>
      </c>
      <c r="AC259" s="61">
        <f ca="1">COUNTBLANK(INDIRECT("e259"))</f>
        <v>1</v>
      </c>
      <c r="AD259" s="61">
        <f ca="1">COUNTBLANK(INDIRECT("f259"))</f>
        <v>1</v>
      </c>
      <c r="AE259" s="61">
        <f ca="1">COUNTBLANK(INDIRECT("g259"))</f>
        <v>1</v>
      </c>
      <c r="AF259" s="61">
        <f ca="1">COUNTBLANK(INDIRECT("h259"))</f>
        <v>1</v>
      </c>
      <c r="AG259" s="61">
        <f ca="1">COUNTBLANK(INDIRECT("b259"))</f>
        <v>1</v>
      </c>
    </row>
    <row r="260" spans="1:33" x14ac:dyDescent="0.25">
      <c r="A260" s="2">
        <v>80</v>
      </c>
      <c r="B260" s="63"/>
      <c r="C260" s="56"/>
      <c r="D260" s="56"/>
      <c r="E260" s="56"/>
      <c r="F260" s="56"/>
      <c r="G260" s="56"/>
      <c r="H260" s="56"/>
      <c r="I260" s="109" t="str">
        <f ca="1">IF(AND(INDIRECT("H260")&gt;=INDIRECT("F260"),AA260=0,AB260=0,AC260=0,AF260=0),"Yes",IF(AND(INDIRECT("H260")&lt;INDIRECT("F260"),AA260=0,AB260=0,AC260=0,AF260=0),"No","N/A"))</f>
        <v>N/A</v>
      </c>
      <c r="J260" s="174" t="str">
        <f t="shared" ca="1" si="14"/>
        <v>No Error</v>
      </c>
      <c r="K260" s="174"/>
      <c r="L260" s="174"/>
      <c r="AA260" s="61">
        <f ca="1">COUNTBLANK(INDIRECT("C260"))</f>
        <v>1</v>
      </c>
      <c r="AB260" s="61">
        <f ca="1">COUNTBLANK(INDIRECT("D260"))</f>
        <v>1</v>
      </c>
      <c r="AC260" s="61">
        <f ca="1">COUNTBLANK(INDIRECT("e260"))</f>
        <v>1</v>
      </c>
      <c r="AD260" s="61">
        <f ca="1">COUNTBLANK(INDIRECT("f260"))</f>
        <v>1</v>
      </c>
      <c r="AE260" s="61">
        <f ca="1">COUNTBLANK(INDIRECT("g260"))</f>
        <v>1</v>
      </c>
      <c r="AF260" s="61">
        <f ca="1">COUNTBLANK(INDIRECT("h260"))</f>
        <v>1</v>
      </c>
      <c r="AG260" s="61">
        <f ca="1">COUNTBLANK(INDIRECT("b260"))</f>
        <v>1</v>
      </c>
    </row>
    <row r="261" spans="1:33" x14ac:dyDescent="0.25">
      <c r="A261" s="2">
        <v>81</v>
      </c>
      <c r="B261" s="63"/>
      <c r="C261" s="56"/>
      <c r="D261" s="56"/>
      <c r="E261" s="56"/>
      <c r="F261" s="56"/>
      <c r="G261" s="56"/>
      <c r="H261" s="56"/>
      <c r="I261" s="109" t="str">
        <f ca="1">IF(AND(INDIRECT("H261")&gt;=INDIRECT("F261"),AA261=0,AB261=0,AC261=0,AF261=0),"Yes",IF(AND(INDIRECT("H261")&lt;INDIRECT("F261"),AA261=0,AB261=0,AC261=0,AF261=0),"No","N/A"))</f>
        <v>N/A</v>
      </c>
      <c r="J261" s="174" t="str">
        <f t="shared" ca="1" si="14"/>
        <v>No Error</v>
      </c>
      <c r="K261" s="174"/>
      <c r="L261" s="174"/>
      <c r="AA261" s="61">
        <f ca="1">COUNTBLANK(INDIRECT("C261"))</f>
        <v>1</v>
      </c>
      <c r="AB261" s="61">
        <f ca="1">COUNTBLANK(INDIRECT("D261"))</f>
        <v>1</v>
      </c>
      <c r="AC261" s="61">
        <f ca="1">COUNTBLANK(INDIRECT("e261"))</f>
        <v>1</v>
      </c>
      <c r="AD261" s="61">
        <f ca="1">COUNTBLANK(INDIRECT("f261"))</f>
        <v>1</v>
      </c>
      <c r="AE261" s="61">
        <f ca="1">COUNTBLANK(INDIRECT("g261"))</f>
        <v>1</v>
      </c>
      <c r="AF261" s="61">
        <f ca="1">COUNTBLANK(INDIRECT("h261"))</f>
        <v>1</v>
      </c>
      <c r="AG261" s="61">
        <f ca="1">COUNTBLANK(INDIRECT("b261"))</f>
        <v>1</v>
      </c>
    </row>
    <row r="262" spans="1:33" x14ac:dyDescent="0.25">
      <c r="A262" s="2">
        <v>82</v>
      </c>
      <c r="B262" s="63"/>
      <c r="C262" s="56"/>
      <c r="D262" s="56"/>
      <c r="E262" s="56"/>
      <c r="F262" s="56"/>
      <c r="G262" s="56"/>
      <c r="H262" s="56"/>
      <c r="I262" s="109" t="str">
        <f ca="1">IF(AND(INDIRECT("H262")&gt;=INDIRECT("F262"),AA262=0,AB262=0,AC262=0,AF262=0),"Yes",IF(AND(INDIRECT("H262")&lt;INDIRECT("F262"),AA262=0,AB262=0,AC262=0,AF262=0),"No","N/A"))</f>
        <v>N/A</v>
      </c>
      <c r="J262" s="174" t="str">
        <f t="shared" ca="1" si="14"/>
        <v>No Error</v>
      </c>
      <c r="K262" s="174"/>
      <c r="L262" s="174"/>
      <c r="AA262" s="61">
        <f ca="1">COUNTBLANK(INDIRECT("C262"))</f>
        <v>1</v>
      </c>
      <c r="AB262" s="61">
        <f ca="1">COUNTBLANK(INDIRECT("D262"))</f>
        <v>1</v>
      </c>
      <c r="AC262" s="61">
        <f ca="1">COUNTBLANK(INDIRECT("e262"))</f>
        <v>1</v>
      </c>
      <c r="AD262" s="61">
        <f ca="1">COUNTBLANK(INDIRECT("f262"))</f>
        <v>1</v>
      </c>
      <c r="AE262" s="61">
        <f ca="1">COUNTBLANK(INDIRECT("g262"))</f>
        <v>1</v>
      </c>
      <c r="AF262" s="61">
        <f ca="1">COUNTBLANK(INDIRECT("h262"))</f>
        <v>1</v>
      </c>
      <c r="AG262" s="61">
        <f ca="1">COUNTBLANK(INDIRECT("b262"))</f>
        <v>1</v>
      </c>
    </row>
    <row r="263" spans="1:33" x14ac:dyDescent="0.25">
      <c r="A263" s="2">
        <v>83</v>
      </c>
      <c r="B263" s="63"/>
      <c r="C263" s="56"/>
      <c r="D263" s="56"/>
      <c r="E263" s="56"/>
      <c r="F263" s="56"/>
      <c r="G263" s="56"/>
      <c r="H263" s="56"/>
      <c r="I263" s="109" t="str">
        <f ca="1">IF(AND(INDIRECT("H263")&gt;=INDIRECT("F263"),AA263=0,AB263=0,AC263=0,AF263=0),"Yes",IF(AND(INDIRECT("H263")&lt;INDIRECT("F263"),AA263=0,AB263=0,AC263=0,AF263=0),"No","N/A"))</f>
        <v>N/A</v>
      </c>
      <c r="J263" s="174" t="str">
        <f t="shared" ca="1" si="14"/>
        <v>No Error</v>
      </c>
      <c r="K263" s="174"/>
      <c r="L263" s="174"/>
      <c r="AA263" s="61">
        <f ca="1">COUNTBLANK(INDIRECT("C263"))</f>
        <v>1</v>
      </c>
      <c r="AB263" s="61">
        <f ca="1">COUNTBLANK(INDIRECT("D263"))</f>
        <v>1</v>
      </c>
      <c r="AC263" s="61">
        <f ca="1">COUNTBLANK(INDIRECT("e263"))</f>
        <v>1</v>
      </c>
      <c r="AD263" s="61">
        <f ca="1">COUNTBLANK(INDIRECT("f263"))</f>
        <v>1</v>
      </c>
      <c r="AE263" s="61">
        <f ca="1">COUNTBLANK(INDIRECT("g263"))</f>
        <v>1</v>
      </c>
      <c r="AF263" s="61">
        <f ca="1">COUNTBLANK(INDIRECT("h263"))</f>
        <v>1</v>
      </c>
      <c r="AG263" s="61">
        <f ca="1">COUNTBLANK(INDIRECT("b263"))</f>
        <v>1</v>
      </c>
    </row>
    <row r="264" spans="1:33" x14ac:dyDescent="0.25">
      <c r="A264" s="2">
        <v>84</v>
      </c>
      <c r="B264" s="63"/>
      <c r="C264" s="56"/>
      <c r="D264" s="56"/>
      <c r="E264" s="56"/>
      <c r="F264" s="56"/>
      <c r="G264" s="56"/>
      <c r="H264" s="56"/>
      <c r="I264" s="109" t="str">
        <f ca="1">IF(AND(INDIRECT("H264")&gt;=INDIRECT("F264"),AA264=0,AB264=0,AC264=0,AF264=0),"Yes",IF(AND(INDIRECT("H264")&lt;INDIRECT("F264"),AA264=0,AB264=0,AC264=0,AF264=0),"No","N/A"))</f>
        <v>N/A</v>
      </c>
      <c r="J264" s="174" t="str">
        <f t="shared" ca="1" si="14"/>
        <v>No Error</v>
      </c>
      <c r="K264" s="174"/>
      <c r="L264" s="174"/>
      <c r="AA264" s="61">
        <f ca="1">COUNTBLANK(INDIRECT("C264"))</f>
        <v>1</v>
      </c>
      <c r="AB264" s="61">
        <f ca="1">COUNTBLANK(INDIRECT("D264"))</f>
        <v>1</v>
      </c>
      <c r="AC264" s="61">
        <f ca="1">COUNTBLANK(INDIRECT("e264"))</f>
        <v>1</v>
      </c>
      <c r="AD264" s="61">
        <f ca="1">COUNTBLANK(INDIRECT("f264"))</f>
        <v>1</v>
      </c>
      <c r="AE264" s="61">
        <f ca="1">COUNTBLANK(INDIRECT("g264"))</f>
        <v>1</v>
      </c>
      <c r="AF264" s="61">
        <f ca="1">COUNTBLANK(INDIRECT("h264"))</f>
        <v>1</v>
      </c>
      <c r="AG264" s="61">
        <f ca="1">COUNTBLANK(INDIRECT("b264"))</f>
        <v>1</v>
      </c>
    </row>
    <row r="265" spans="1:33" x14ac:dyDescent="0.25">
      <c r="A265" s="2">
        <v>85</v>
      </c>
      <c r="B265" s="63"/>
      <c r="C265" s="56"/>
      <c r="D265" s="56"/>
      <c r="E265" s="56"/>
      <c r="F265" s="56"/>
      <c r="G265" s="56"/>
      <c r="H265" s="56"/>
      <c r="I265" s="109" t="str">
        <f ca="1">IF(AND(INDIRECT("H265")&gt;=INDIRECT("F265"),AA265=0,AB265=0,AC265=0,AF265=0),"Yes",IF(AND(INDIRECT("H265")&lt;INDIRECT("F265"),AA265=0,AB265=0,AC265=0,AF265=0),"No","N/A"))</f>
        <v>N/A</v>
      </c>
      <c r="J265" s="174" t="str">
        <f t="shared" ca="1" si="14"/>
        <v>No Error</v>
      </c>
      <c r="K265" s="174"/>
      <c r="L265" s="174"/>
      <c r="AA265" s="61">
        <f ca="1">COUNTBLANK(INDIRECT("C265"))</f>
        <v>1</v>
      </c>
      <c r="AB265" s="61">
        <f ca="1">COUNTBLANK(INDIRECT("D265"))</f>
        <v>1</v>
      </c>
      <c r="AC265" s="61">
        <f ca="1">COUNTBLANK(INDIRECT("e265"))</f>
        <v>1</v>
      </c>
      <c r="AD265" s="61">
        <f ca="1">COUNTBLANK(INDIRECT("f265"))</f>
        <v>1</v>
      </c>
      <c r="AE265" s="61">
        <f ca="1">COUNTBLANK(INDIRECT("g265"))</f>
        <v>1</v>
      </c>
      <c r="AF265" s="61">
        <f ca="1">COUNTBLANK(INDIRECT("h265"))</f>
        <v>1</v>
      </c>
      <c r="AG265" s="61">
        <f ca="1">COUNTBLANK(INDIRECT("b265"))</f>
        <v>1</v>
      </c>
    </row>
    <row r="266" spans="1:33" x14ac:dyDescent="0.25">
      <c r="A266" s="2">
        <v>86</v>
      </c>
      <c r="B266" s="63"/>
      <c r="C266" s="56"/>
      <c r="D266" s="56"/>
      <c r="E266" s="56"/>
      <c r="F266" s="56"/>
      <c r="G266" s="56"/>
      <c r="H266" s="56"/>
      <c r="I266" s="109" t="str">
        <f ca="1">IF(AND(INDIRECT("H266")&gt;=INDIRECT("F266"),AA266=0,AB266=0,AC266=0,AF266=0),"Yes",IF(AND(INDIRECT("H266")&lt;INDIRECT("F266"),AA266=0,AB266=0,AC266=0,AF266=0),"No","N/A"))</f>
        <v>N/A</v>
      </c>
      <c r="J266" s="174" t="str">
        <f t="shared" ca="1" si="14"/>
        <v>No Error</v>
      </c>
      <c r="K266" s="174"/>
      <c r="L266" s="174"/>
      <c r="AA266" s="61">
        <f ca="1">COUNTBLANK(INDIRECT("C266"))</f>
        <v>1</v>
      </c>
      <c r="AB266" s="61">
        <f ca="1">COUNTBLANK(INDIRECT("D266"))</f>
        <v>1</v>
      </c>
      <c r="AC266" s="61">
        <f ca="1">COUNTBLANK(INDIRECT("e266"))</f>
        <v>1</v>
      </c>
      <c r="AD266" s="61">
        <f ca="1">COUNTBLANK(INDIRECT("f266"))</f>
        <v>1</v>
      </c>
      <c r="AE266" s="61">
        <f ca="1">COUNTBLANK(INDIRECT("g266"))</f>
        <v>1</v>
      </c>
      <c r="AF266" s="61">
        <f ca="1">COUNTBLANK(INDIRECT("h266"))</f>
        <v>1</v>
      </c>
      <c r="AG266" s="61">
        <f ca="1">COUNTBLANK(INDIRECT("b266"))</f>
        <v>1</v>
      </c>
    </row>
    <row r="267" spans="1:33" x14ac:dyDescent="0.25">
      <c r="A267" s="2">
        <v>87</v>
      </c>
      <c r="B267" s="63"/>
      <c r="C267" s="56"/>
      <c r="D267" s="56"/>
      <c r="E267" s="56"/>
      <c r="F267" s="56"/>
      <c r="G267" s="56"/>
      <c r="H267" s="56"/>
      <c r="I267" s="109" t="str">
        <f ca="1">IF(AND(INDIRECT("H267")&gt;=INDIRECT("F267"),AA267=0,AB267=0,AC267=0,AF267=0),"Yes",IF(AND(INDIRECT("H267")&lt;INDIRECT("F267"),AA267=0,AB267=0,AC267=0,AF267=0),"No","N/A"))</f>
        <v>N/A</v>
      </c>
      <c r="J267" s="174" t="str">
        <f t="shared" ca="1" si="14"/>
        <v>No Error</v>
      </c>
      <c r="K267" s="174"/>
      <c r="L267" s="174"/>
      <c r="AA267" s="61">
        <f ca="1">COUNTBLANK(INDIRECT("C267"))</f>
        <v>1</v>
      </c>
      <c r="AB267" s="61">
        <f ca="1">COUNTBLANK(INDIRECT("D267"))</f>
        <v>1</v>
      </c>
      <c r="AC267" s="61">
        <f ca="1">COUNTBLANK(INDIRECT("e267"))</f>
        <v>1</v>
      </c>
      <c r="AD267" s="61">
        <f ca="1">COUNTBLANK(INDIRECT("f267"))</f>
        <v>1</v>
      </c>
      <c r="AE267" s="61">
        <f ca="1">COUNTBLANK(INDIRECT("g267"))</f>
        <v>1</v>
      </c>
      <c r="AF267" s="61">
        <f ca="1">COUNTBLANK(INDIRECT("h267"))</f>
        <v>1</v>
      </c>
      <c r="AG267" s="61">
        <f ca="1">COUNTBLANK(INDIRECT("b267"))</f>
        <v>1</v>
      </c>
    </row>
    <row r="268" spans="1:33" x14ac:dyDescent="0.25">
      <c r="A268" s="2">
        <v>88</v>
      </c>
      <c r="B268" s="63"/>
      <c r="C268" s="56"/>
      <c r="D268" s="56"/>
      <c r="E268" s="56"/>
      <c r="F268" s="56"/>
      <c r="G268" s="56"/>
      <c r="H268" s="56"/>
      <c r="I268" s="109" t="str">
        <f ca="1">IF(AND(INDIRECT("H268")&gt;=INDIRECT("F268"),AA268=0,AB268=0,AC268=0,AF268=0),"Yes",IF(AND(INDIRECT("H268")&lt;INDIRECT("F268"),AA268=0,AB268=0,AC268=0,AF268=0),"No","N/A"))</f>
        <v>N/A</v>
      </c>
      <c r="J268" s="174" t="str">
        <f t="shared" ca="1" si="14"/>
        <v>No Error</v>
      </c>
      <c r="K268" s="174"/>
      <c r="L268" s="174"/>
      <c r="AA268" s="61">
        <f ca="1">COUNTBLANK(INDIRECT("C268"))</f>
        <v>1</v>
      </c>
      <c r="AB268" s="61">
        <f ca="1">COUNTBLANK(INDIRECT("D268"))</f>
        <v>1</v>
      </c>
      <c r="AC268" s="61">
        <f ca="1">COUNTBLANK(INDIRECT("e268"))</f>
        <v>1</v>
      </c>
      <c r="AD268" s="61">
        <f ca="1">COUNTBLANK(INDIRECT("f268"))</f>
        <v>1</v>
      </c>
      <c r="AE268" s="61">
        <f ca="1">COUNTBLANK(INDIRECT("g268"))</f>
        <v>1</v>
      </c>
      <c r="AF268" s="61">
        <f ca="1">COUNTBLANK(INDIRECT("h268"))</f>
        <v>1</v>
      </c>
      <c r="AG268" s="61">
        <f ca="1">COUNTBLANK(INDIRECT("b268"))</f>
        <v>1</v>
      </c>
    </row>
    <row r="269" spans="1:33" x14ac:dyDescent="0.25">
      <c r="A269" s="2">
        <v>89</v>
      </c>
      <c r="B269" s="63"/>
      <c r="C269" s="56"/>
      <c r="D269" s="56"/>
      <c r="E269" s="56"/>
      <c r="F269" s="56"/>
      <c r="G269" s="56"/>
      <c r="H269" s="56"/>
      <c r="I269" s="109" t="str">
        <f ca="1">IF(AND(INDIRECT("H269")&gt;=INDIRECT("F269"),AA269=0,AB269=0,AC269=0,AF269=0),"Yes",IF(AND(INDIRECT("H269")&lt;INDIRECT("F269"),AA269=0,AB269=0,AC269=0,AF269=0),"No","N/A"))</f>
        <v>N/A</v>
      </c>
      <c r="J269" s="174" t="str">
        <f t="shared" ca="1" si="14"/>
        <v>No Error</v>
      </c>
      <c r="K269" s="174"/>
      <c r="L269" s="174"/>
      <c r="AA269" s="61">
        <f ca="1">COUNTBLANK(INDIRECT("C269"))</f>
        <v>1</v>
      </c>
      <c r="AB269" s="61">
        <f ca="1">COUNTBLANK(INDIRECT("D269"))</f>
        <v>1</v>
      </c>
      <c r="AC269" s="61">
        <f ca="1">COUNTBLANK(INDIRECT("e269"))</f>
        <v>1</v>
      </c>
      <c r="AD269" s="61">
        <f ca="1">COUNTBLANK(INDIRECT("f269"))</f>
        <v>1</v>
      </c>
      <c r="AE269" s="61">
        <f ca="1">COUNTBLANK(INDIRECT("g269"))</f>
        <v>1</v>
      </c>
      <c r="AF269" s="61">
        <f ca="1">COUNTBLANK(INDIRECT("h269"))</f>
        <v>1</v>
      </c>
      <c r="AG269" s="61">
        <f ca="1">COUNTBLANK(INDIRECT("b269"))</f>
        <v>1</v>
      </c>
    </row>
    <row r="270" spans="1:33" x14ac:dyDescent="0.25">
      <c r="A270" s="2">
        <v>90</v>
      </c>
      <c r="B270" s="63"/>
      <c r="C270" s="56"/>
      <c r="D270" s="56"/>
      <c r="E270" s="56"/>
      <c r="F270" s="56"/>
      <c r="G270" s="56"/>
      <c r="H270" s="56"/>
      <c r="I270" s="109" t="str">
        <f ca="1">IF(AND(INDIRECT("H270")&gt;=INDIRECT("F270"),AA270=0,AB270=0,AC270=0,AF270=0),"Yes",IF(AND(INDIRECT("H270")&lt;INDIRECT("F270"),AA270=0,AB270=0,AC270=0,AF270=0),"No","N/A"))</f>
        <v>N/A</v>
      </c>
      <c r="J270" s="174" t="str">
        <f t="shared" ref="J270:J305" ca="1" si="15">IF(AND(AF270=0,AG270=0,AA270=0,AB270=0,AC270=0,AD270=0),"No Error",IF(AND(AF270=1,AG270=1,AA270=1,AB270=1,AC270=1,AD270=1),"No Error","Please supply all information"))</f>
        <v>No Error</v>
      </c>
      <c r="K270" s="174"/>
      <c r="L270" s="174"/>
      <c r="AA270" s="61">
        <f ca="1">COUNTBLANK(INDIRECT("C270"))</f>
        <v>1</v>
      </c>
      <c r="AB270" s="61">
        <f ca="1">COUNTBLANK(INDIRECT("D270"))</f>
        <v>1</v>
      </c>
      <c r="AC270" s="61">
        <f ca="1">COUNTBLANK(INDIRECT("e270"))</f>
        <v>1</v>
      </c>
      <c r="AD270" s="61">
        <f ca="1">COUNTBLANK(INDIRECT("f270"))</f>
        <v>1</v>
      </c>
      <c r="AE270" s="61">
        <f ca="1">COUNTBLANK(INDIRECT("g270"))</f>
        <v>1</v>
      </c>
      <c r="AF270" s="61">
        <f ca="1">COUNTBLANK(INDIRECT("h270"))</f>
        <v>1</v>
      </c>
      <c r="AG270" s="61">
        <f ca="1">COUNTBLANK(INDIRECT("b270"))</f>
        <v>1</v>
      </c>
    </row>
    <row r="271" spans="1:33" x14ac:dyDescent="0.25">
      <c r="A271" s="2">
        <v>91</v>
      </c>
      <c r="B271" s="63"/>
      <c r="C271" s="56"/>
      <c r="D271" s="56"/>
      <c r="E271" s="56"/>
      <c r="F271" s="56"/>
      <c r="G271" s="56"/>
      <c r="H271" s="56"/>
      <c r="I271" s="109" t="str">
        <f ca="1">IF(AND(INDIRECT("H271")&gt;=INDIRECT("F271"),AA271=0,AB271=0,AC271=0,AF271=0),"Yes",IF(AND(INDIRECT("H271")&lt;INDIRECT("F271"),AA271=0,AB271=0,AC271=0,AF271=0),"No","N/A"))</f>
        <v>N/A</v>
      </c>
      <c r="J271" s="174" t="str">
        <f t="shared" ca="1" si="15"/>
        <v>No Error</v>
      </c>
      <c r="K271" s="174"/>
      <c r="L271" s="174"/>
      <c r="AA271" s="61">
        <f ca="1">COUNTBLANK(INDIRECT("C271"))</f>
        <v>1</v>
      </c>
      <c r="AB271" s="61">
        <f ca="1">COUNTBLANK(INDIRECT("D271"))</f>
        <v>1</v>
      </c>
      <c r="AC271" s="61">
        <f ca="1">COUNTBLANK(INDIRECT("e271"))</f>
        <v>1</v>
      </c>
      <c r="AD271" s="61">
        <f ca="1">COUNTBLANK(INDIRECT("f271"))</f>
        <v>1</v>
      </c>
      <c r="AE271" s="61">
        <f ca="1">COUNTBLANK(INDIRECT("g271"))</f>
        <v>1</v>
      </c>
      <c r="AF271" s="61">
        <f ca="1">COUNTBLANK(INDIRECT("h271"))</f>
        <v>1</v>
      </c>
      <c r="AG271" s="61">
        <f ca="1">COUNTBLANK(INDIRECT("b271"))</f>
        <v>1</v>
      </c>
    </row>
    <row r="272" spans="1:33" x14ac:dyDescent="0.25">
      <c r="A272" s="2">
        <v>92</v>
      </c>
      <c r="B272" s="63"/>
      <c r="C272" s="56"/>
      <c r="D272" s="56"/>
      <c r="E272" s="56"/>
      <c r="F272" s="56"/>
      <c r="G272" s="56"/>
      <c r="H272" s="56"/>
      <c r="I272" s="109" t="str">
        <f ca="1">IF(AND(INDIRECT("H272")&gt;=INDIRECT("F272"),AA272=0,AB272=0,AC272=0,AF272=0),"Yes",IF(AND(INDIRECT("H272")&lt;INDIRECT("F272"),AA272=0,AB272=0,AC272=0,AF272=0),"No","N/A"))</f>
        <v>N/A</v>
      </c>
      <c r="J272" s="174" t="str">
        <f t="shared" ca="1" si="15"/>
        <v>No Error</v>
      </c>
      <c r="K272" s="174"/>
      <c r="L272" s="174"/>
      <c r="AA272" s="61">
        <f ca="1">COUNTBLANK(INDIRECT("C272"))</f>
        <v>1</v>
      </c>
      <c r="AB272" s="61">
        <f ca="1">COUNTBLANK(INDIRECT("D272"))</f>
        <v>1</v>
      </c>
      <c r="AC272" s="61">
        <f ca="1">COUNTBLANK(INDIRECT("e272"))</f>
        <v>1</v>
      </c>
      <c r="AD272" s="61">
        <f ca="1">COUNTBLANK(INDIRECT("f272"))</f>
        <v>1</v>
      </c>
      <c r="AE272" s="61">
        <f ca="1">COUNTBLANK(INDIRECT("g272"))</f>
        <v>1</v>
      </c>
      <c r="AF272" s="61">
        <f ca="1">COUNTBLANK(INDIRECT("h272"))</f>
        <v>1</v>
      </c>
      <c r="AG272" s="61">
        <f ca="1">COUNTBLANK(INDIRECT("b272"))</f>
        <v>1</v>
      </c>
    </row>
    <row r="273" spans="1:33" x14ac:dyDescent="0.25">
      <c r="A273" s="2">
        <v>93</v>
      </c>
      <c r="B273" s="63"/>
      <c r="C273" s="56"/>
      <c r="D273" s="56"/>
      <c r="E273" s="56"/>
      <c r="F273" s="56"/>
      <c r="G273" s="56"/>
      <c r="H273" s="56"/>
      <c r="I273" s="109" t="str">
        <f ca="1">IF(AND(INDIRECT("H273")&gt;=INDIRECT("F273"),AA273=0,AB273=0,AC273=0,AF273=0),"Yes",IF(AND(INDIRECT("H273")&lt;INDIRECT("F273"),AA273=0,AB273=0,AC273=0,AF273=0),"No","N/A"))</f>
        <v>N/A</v>
      </c>
      <c r="J273" s="174" t="str">
        <f t="shared" ca="1" si="15"/>
        <v>No Error</v>
      </c>
      <c r="K273" s="174"/>
      <c r="L273" s="174"/>
      <c r="AA273" s="61">
        <f ca="1">COUNTBLANK(INDIRECT("C273"))</f>
        <v>1</v>
      </c>
      <c r="AB273" s="61">
        <f ca="1">COUNTBLANK(INDIRECT("D273"))</f>
        <v>1</v>
      </c>
      <c r="AC273" s="61">
        <f ca="1">COUNTBLANK(INDIRECT("e273"))</f>
        <v>1</v>
      </c>
      <c r="AD273" s="61">
        <f ca="1">COUNTBLANK(INDIRECT("f273"))</f>
        <v>1</v>
      </c>
      <c r="AE273" s="61">
        <f ca="1">COUNTBLANK(INDIRECT("g273"))</f>
        <v>1</v>
      </c>
      <c r="AF273" s="61">
        <f ca="1">COUNTBLANK(INDIRECT("h273"))</f>
        <v>1</v>
      </c>
      <c r="AG273" s="61">
        <f ca="1">COUNTBLANK(INDIRECT("b273"))</f>
        <v>1</v>
      </c>
    </row>
    <row r="274" spans="1:33" x14ac:dyDescent="0.25">
      <c r="A274" s="2">
        <v>94</v>
      </c>
      <c r="B274" s="63"/>
      <c r="C274" s="56"/>
      <c r="D274" s="56"/>
      <c r="E274" s="56"/>
      <c r="F274" s="56"/>
      <c r="G274" s="56"/>
      <c r="H274" s="56"/>
      <c r="I274" s="109" t="str">
        <f ca="1">IF(AND(INDIRECT("H274")&gt;=INDIRECT("F274"),AA274=0,AB274=0,AC274=0,AF274=0),"Yes",IF(AND(INDIRECT("H274")&lt;INDIRECT("F274"),AA274=0,AB274=0,AC274=0,AF274=0),"No","N/A"))</f>
        <v>N/A</v>
      </c>
      <c r="J274" s="174" t="str">
        <f t="shared" ca="1" si="15"/>
        <v>No Error</v>
      </c>
      <c r="K274" s="174"/>
      <c r="L274" s="174"/>
      <c r="AA274" s="61">
        <f ca="1">COUNTBLANK(INDIRECT("C274"))</f>
        <v>1</v>
      </c>
      <c r="AB274" s="61">
        <f ca="1">COUNTBLANK(INDIRECT("D274"))</f>
        <v>1</v>
      </c>
      <c r="AC274" s="61">
        <f ca="1">COUNTBLANK(INDIRECT("e274"))</f>
        <v>1</v>
      </c>
      <c r="AD274" s="61">
        <f ca="1">COUNTBLANK(INDIRECT("f274"))</f>
        <v>1</v>
      </c>
      <c r="AE274" s="61">
        <f ca="1">COUNTBLANK(INDIRECT("g274"))</f>
        <v>1</v>
      </c>
      <c r="AF274" s="61">
        <f ca="1">COUNTBLANK(INDIRECT("h274"))</f>
        <v>1</v>
      </c>
      <c r="AG274" s="61">
        <f ca="1">COUNTBLANK(INDIRECT("b274"))</f>
        <v>1</v>
      </c>
    </row>
    <row r="275" spans="1:33" x14ac:dyDescent="0.25">
      <c r="A275" s="2">
        <v>95</v>
      </c>
      <c r="B275" s="63"/>
      <c r="C275" s="56"/>
      <c r="D275" s="56"/>
      <c r="E275" s="56"/>
      <c r="F275" s="56"/>
      <c r="G275" s="56"/>
      <c r="H275" s="56"/>
      <c r="I275" s="109" t="str">
        <f ca="1">IF(AND(INDIRECT("H275")&gt;=INDIRECT("F275"),AA275=0,AB275=0,AC275=0,AF275=0),"Yes",IF(AND(INDIRECT("H275")&lt;INDIRECT("F275"),AA275=0,AB275=0,AC275=0,AF275=0),"No","N/A"))</f>
        <v>N/A</v>
      </c>
      <c r="J275" s="174" t="str">
        <f t="shared" ca="1" si="15"/>
        <v>No Error</v>
      </c>
      <c r="K275" s="174"/>
      <c r="L275" s="174"/>
      <c r="AA275" s="61">
        <f ca="1">COUNTBLANK(INDIRECT("C275"))</f>
        <v>1</v>
      </c>
      <c r="AB275" s="61">
        <f ca="1">COUNTBLANK(INDIRECT("D275"))</f>
        <v>1</v>
      </c>
      <c r="AC275" s="61">
        <f ca="1">COUNTBLANK(INDIRECT("e275"))</f>
        <v>1</v>
      </c>
      <c r="AD275" s="61">
        <f ca="1">COUNTBLANK(INDIRECT("f275"))</f>
        <v>1</v>
      </c>
      <c r="AE275" s="61">
        <f ca="1">COUNTBLANK(INDIRECT("g275"))</f>
        <v>1</v>
      </c>
      <c r="AF275" s="61">
        <f ca="1">COUNTBLANK(INDIRECT("h275"))</f>
        <v>1</v>
      </c>
      <c r="AG275" s="61">
        <f ca="1">COUNTBLANK(INDIRECT("b275"))</f>
        <v>1</v>
      </c>
    </row>
    <row r="276" spans="1:33" x14ac:dyDescent="0.25">
      <c r="A276" s="2">
        <v>96</v>
      </c>
      <c r="B276" s="63"/>
      <c r="C276" s="56"/>
      <c r="D276" s="56"/>
      <c r="E276" s="56"/>
      <c r="F276" s="56"/>
      <c r="G276" s="56"/>
      <c r="H276" s="56"/>
      <c r="I276" s="109" t="str">
        <f ca="1">IF(AND(INDIRECT("H276")&gt;=INDIRECT("F276"),AA276=0,AB276=0,AC276=0,AF276=0),"Yes",IF(AND(INDIRECT("H276")&lt;INDIRECT("F276"),AA276=0,AB276=0,AC276=0,AF276=0),"No","N/A"))</f>
        <v>N/A</v>
      </c>
      <c r="J276" s="174" t="str">
        <f t="shared" ca="1" si="15"/>
        <v>No Error</v>
      </c>
      <c r="K276" s="174"/>
      <c r="L276" s="174"/>
      <c r="AA276" s="61">
        <f ca="1">COUNTBLANK(INDIRECT("C276"))</f>
        <v>1</v>
      </c>
      <c r="AB276" s="61">
        <f ca="1">COUNTBLANK(INDIRECT("D276"))</f>
        <v>1</v>
      </c>
      <c r="AC276" s="61">
        <f ca="1">COUNTBLANK(INDIRECT("e276"))</f>
        <v>1</v>
      </c>
      <c r="AD276" s="61">
        <f ca="1">COUNTBLANK(INDIRECT("f276"))</f>
        <v>1</v>
      </c>
      <c r="AE276" s="61">
        <f ca="1">COUNTBLANK(INDIRECT("g276"))</f>
        <v>1</v>
      </c>
      <c r="AF276" s="61">
        <f ca="1">COUNTBLANK(INDIRECT("h276"))</f>
        <v>1</v>
      </c>
      <c r="AG276" s="61">
        <f ca="1">COUNTBLANK(INDIRECT("b276"))</f>
        <v>1</v>
      </c>
    </row>
    <row r="277" spans="1:33" x14ac:dyDescent="0.25">
      <c r="A277" s="2">
        <v>97</v>
      </c>
      <c r="B277" s="63"/>
      <c r="C277" s="56"/>
      <c r="D277" s="56"/>
      <c r="E277" s="56"/>
      <c r="F277" s="56"/>
      <c r="G277" s="56"/>
      <c r="H277" s="56"/>
      <c r="I277" s="109" t="str">
        <f ca="1">IF(AND(INDIRECT("H277")&gt;=INDIRECT("F277"),AA277=0,AB277=0,AC277=0,AF277=0),"Yes",IF(AND(INDIRECT("H277")&lt;INDIRECT("F277"),AA277=0,AB277=0,AC277=0,AF277=0),"No","N/A"))</f>
        <v>N/A</v>
      </c>
      <c r="J277" s="174" t="str">
        <f t="shared" ca="1" si="15"/>
        <v>No Error</v>
      </c>
      <c r="K277" s="174"/>
      <c r="L277" s="174"/>
      <c r="AA277" s="61">
        <f ca="1">COUNTBLANK(INDIRECT("C277"))</f>
        <v>1</v>
      </c>
      <c r="AB277" s="61">
        <f ca="1">COUNTBLANK(INDIRECT("D277"))</f>
        <v>1</v>
      </c>
      <c r="AC277" s="61">
        <f ca="1">COUNTBLANK(INDIRECT("e277"))</f>
        <v>1</v>
      </c>
      <c r="AD277" s="61">
        <f ca="1">COUNTBLANK(INDIRECT("f277"))</f>
        <v>1</v>
      </c>
      <c r="AE277" s="61">
        <f ca="1">COUNTBLANK(INDIRECT("g277"))</f>
        <v>1</v>
      </c>
      <c r="AF277" s="61">
        <f ca="1">COUNTBLANK(INDIRECT("h277"))</f>
        <v>1</v>
      </c>
      <c r="AG277" s="61">
        <f ca="1">COUNTBLANK(INDIRECT("b277"))</f>
        <v>1</v>
      </c>
    </row>
    <row r="278" spans="1:33" x14ac:dyDescent="0.25">
      <c r="A278" s="2">
        <v>98</v>
      </c>
      <c r="B278" s="63"/>
      <c r="C278" s="56"/>
      <c r="D278" s="56"/>
      <c r="E278" s="56"/>
      <c r="F278" s="56"/>
      <c r="G278" s="56"/>
      <c r="H278" s="56"/>
      <c r="I278" s="109" t="str">
        <f ca="1">IF(AND(INDIRECT("H278")&gt;=INDIRECT("F278"),AA278=0,AB278=0,AC278=0,AF278=0),"Yes",IF(AND(INDIRECT("H278")&lt;INDIRECT("F278"),AA278=0,AB278=0,AC278=0,AF278=0),"No","N/A"))</f>
        <v>N/A</v>
      </c>
      <c r="J278" s="174" t="str">
        <f t="shared" ca="1" si="15"/>
        <v>No Error</v>
      </c>
      <c r="K278" s="174"/>
      <c r="L278" s="174"/>
      <c r="AA278" s="61">
        <f ca="1">COUNTBLANK(INDIRECT("C278"))</f>
        <v>1</v>
      </c>
      <c r="AB278" s="61">
        <f ca="1">COUNTBLANK(INDIRECT("D278"))</f>
        <v>1</v>
      </c>
      <c r="AC278" s="61">
        <f ca="1">COUNTBLANK(INDIRECT("e278"))</f>
        <v>1</v>
      </c>
      <c r="AD278" s="61">
        <f ca="1">COUNTBLANK(INDIRECT("f278"))</f>
        <v>1</v>
      </c>
      <c r="AE278" s="61">
        <f ca="1">COUNTBLANK(INDIRECT("g278"))</f>
        <v>1</v>
      </c>
      <c r="AF278" s="61">
        <f ca="1">COUNTBLANK(INDIRECT("h278"))</f>
        <v>1</v>
      </c>
      <c r="AG278" s="61">
        <f ca="1">COUNTBLANK(INDIRECT("b278"))</f>
        <v>1</v>
      </c>
    </row>
    <row r="279" spans="1:33" x14ac:dyDescent="0.25">
      <c r="A279" s="2">
        <v>99</v>
      </c>
      <c r="B279" s="63"/>
      <c r="C279" s="56"/>
      <c r="D279" s="56"/>
      <c r="E279" s="56"/>
      <c r="F279" s="56"/>
      <c r="G279" s="56"/>
      <c r="H279" s="56"/>
      <c r="I279" s="109" t="str">
        <f ca="1">IF(AND(INDIRECT("H279")&gt;=INDIRECT("F279"),AA279=0,AB279=0,AC279=0,AF279=0),"Yes",IF(AND(INDIRECT("H279")&lt;INDIRECT("F279"),AA279=0,AB279=0,AC279=0,AF279=0),"No","N/A"))</f>
        <v>N/A</v>
      </c>
      <c r="J279" s="174" t="str">
        <f t="shared" ca="1" si="15"/>
        <v>No Error</v>
      </c>
      <c r="K279" s="174"/>
      <c r="L279" s="174"/>
      <c r="AA279" s="61">
        <f ca="1">COUNTBLANK(INDIRECT("C279"))</f>
        <v>1</v>
      </c>
      <c r="AB279" s="61">
        <f ca="1">COUNTBLANK(INDIRECT("D279"))</f>
        <v>1</v>
      </c>
      <c r="AC279" s="61">
        <f ca="1">COUNTBLANK(INDIRECT("e279"))</f>
        <v>1</v>
      </c>
      <c r="AD279" s="61">
        <f ca="1">COUNTBLANK(INDIRECT("f279"))</f>
        <v>1</v>
      </c>
      <c r="AE279" s="61">
        <f ca="1">COUNTBLANK(INDIRECT("g279"))</f>
        <v>1</v>
      </c>
      <c r="AF279" s="61">
        <f ca="1">COUNTBLANK(INDIRECT("h279"))</f>
        <v>1</v>
      </c>
      <c r="AG279" s="61">
        <f ca="1">COUNTBLANK(INDIRECT("b279"))</f>
        <v>1</v>
      </c>
    </row>
    <row r="280" spans="1:33" x14ac:dyDescent="0.25">
      <c r="A280" s="2">
        <v>100</v>
      </c>
      <c r="B280" s="63"/>
      <c r="C280" s="56"/>
      <c r="D280" s="56"/>
      <c r="E280" s="56"/>
      <c r="F280" s="56"/>
      <c r="G280" s="56"/>
      <c r="H280" s="56"/>
      <c r="I280" s="109" t="str">
        <f ca="1">IF(AND(INDIRECT("H280")&gt;=INDIRECT("F280"),AA280=0,AB280=0,AC280=0,AF280=0),"Yes",IF(AND(INDIRECT("H280")&lt;INDIRECT("F280"),AA280=0,AB280=0,AC280=0,AF280=0),"No","N/A"))</f>
        <v>N/A</v>
      </c>
      <c r="J280" s="174" t="str">
        <f t="shared" ca="1" si="15"/>
        <v>No Error</v>
      </c>
      <c r="K280" s="174"/>
      <c r="L280" s="174"/>
      <c r="AA280" s="61">
        <f ca="1">COUNTBLANK(INDIRECT("C280"))</f>
        <v>1</v>
      </c>
      <c r="AB280" s="61">
        <f ca="1">COUNTBLANK(INDIRECT("D280"))</f>
        <v>1</v>
      </c>
      <c r="AC280" s="61">
        <f ca="1">COUNTBLANK(INDIRECT("e280"))</f>
        <v>1</v>
      </c>
      <c r="AD280" s="61">
        <f ca="1">COUNTBLANK(INDIRECT("f280"))</f>
        <v>1</v>
      </c>
      <c r="AE280" s="61">
        <f ca="1">COUNTBLANK(INDIRECT("g280"))</f>
        <v>1</v>
      </c>
      <c r="AF280" s="61">
        <f ca="1">COUNTBLANK(INDIRECT("h280"))</f>
        <v>1</v>
      </c>
      <c r="AG280" s="61">
        <f ca="1">COUNTBLANK(INDIRECT("b280"))</f>
        <v>1</v>
      </c>
    </row>
    <row r="281" spans="1:33" x14ac:dyDescent="0.25">
      <c r="A281" s="2">
        <v>101</v>
      </c>
      <c r="B281" s="63"/>
      <c r="C281" s="56"/>
      <c r="D281" s="56"/>
      <c r="E281" s="56"/>
      <c r="F281" s="56"/>
      <c r="G281" s="56"/>
      <c r="H281" s="56"/>
      <c r="I281" s="109" t="str">
        <f ca="1">IF(AND(INDIRECT("H281")&gt;=INDIRECT("F281"),AA281=0,AB281=0,AC281=0,AF281=0),"Yes",IF(AND(INDIRECT("h281")&lt;INDIRECT("F281"),AA281=0,AB281=0,AC281=0,AF281=0),"No","N/A"))</f>
        <v>N/A</v>
      </c>
      <c r="J281" s="174" t="str">
        <f t="shared" ca="1" si="15"/>
        <v>No Error</v>
      </c>
      <c r="K281" s="174"/>
      <c r="L281" s="174"/>
      <c r="AA281" s="61">
        <f ca="1">COUNTBLANK(INDIRECT("C281"))</f>
        <v>1</v>
      </c>
      <c r="AB281" s="61">
        <f ca="1">COUNTBLANK(INDIRECT("D281"))</f>
        <v>1</v>
      </c>
      <c r="AC281" s="61">
        <f ca="1">COUNTBLANK(INDIRECT("e281"))</f>
        <v>1</v>
      </c>
      <c r="AD281" s="61">
        <f ca="1">COUNTBLANK(INDIRECT("f281"))</f>
        <v>1</v>
      </c>
      <c r="AE281" s="61">
        <f ca="1">COUNTBLANK(INDIRECT("g281"))</f>
        <v>1</v>
      </c>
      <c r="AF281" s="61">
        <f ca="1">COUNTBLANK(INDIRECT("h281"))</f>
        <v>1</v>
      </c>
      <c r="AG281" s="61">
        <f ca="1">COUNTBLANK(INDIRECT("b281"))</f>
        <v>1</v>
      </c>
    </row>
    <row r="282" spans="1:33" x14ac:dyDescent="0.25">
      <c r="A282" s="2">
        <v>102</v>
      </c>
      <c r="B282" s="63"/>
      <c r="C282" s="56"/>
      <c r="D282" s="56"/>
      <c r="E282" s="56"/>
      <c r="F282" s="56"/>
      <c r="G282" s="56"/>
      <c r="H282" s="56"/>
      <c r="I282" s="109" t="str">
        <f ca="1">IF(AND(INDIRECT("H282")&gt;=INDIRECT("F282"),AA282=0,AB282=0,AC282=0,AF282=0),"Yes",IF(AND(INDIRECT("H282")&lt;INDIRECT("F282"),AA282=0,AB282=0,AC282=0,AF282=0),"No","N/A"))</f>
        <v>N/A</v>
      </c>
      <c r="J282" s="174" t="str">
        <f t="shared" ca="1" si="15"/>
        <v>No Error</v>
      </c>
      <c r="K282" s="174"/>
      <c r="L282" s="174"/>
      <c r="AA282" s="61">
        <f ca="1">COUNTBLANK(INDIRECT("C282"))</f>
        <v>1</v>
      </c>
      <c r="AB282" s="61">
        <f ca="1">COUNTBLANK(INDIRECT("D282"))</f>
        <v>1</v>
      </c>
      <c r="AC282" s="61">
        <f ca="1">COUNTBLANK(INDIRECT("e282"))</f>
        <v>1</v>
      </c>
      <c r="AD282" s="61">
        <f ca="1">COUNTBLANK(INDIRECT("f282"))</f>
        <v>1</v>
      </c>
      <c r="AE282" s="61">
        <f ca="1">COUNTBLANK(INDIRECT("g282"))</f>
        <v>1</v>
      </c>
      <c r="AF282" s="61">
        <f ca="1">COUNTBLANK(INDIRECT("h282"))</f>
        <v>1</v>
      </c>
      <c r="AG282" s="61">
        <f ca="1">COUNTBLANK(INDIRECT("b282"))</f>
        <v>1</v>
      </c>
    </row>
    <row r="283" spans="1:33" x14ac:dyDescent="0.25">
      <c r="A283" s="2">
        <v>103</v>
      </c>
      <c r="B283" s="63"/>
      <c r="C283" s="56"/>
      <c r="D283" s="56"/>
      <c r="E283" s="56"/>
      <c r="F283" s="56"/>
      <c r="G283" s="56"/>
      <c r="H283" s="56"/>
      <c r="I283" s="109" t="str">
        <f ca="1">IF(AND(INDIRECT("H283")&gt;=INDIRECT("F283"),AA283=0,AB283=0,AC283=0,AF283=0),"Yes",IF(AND(INDIRECT("H283")&lt;INDIRECT("F283"),AA283=0,AB283=0,AC283=0,AF283=0),"No","N/A"))</f>
        <v>N/A</v>
      </c>
      <c r="J283" s="174" t="str">
        <f t="shared" ca="1" si="15"/>
        <v>No Error</v>
      </c>
      <c r="K283" s="174"/>
      <c r="L283" s="174"/>
      <c r="AA283" s="61">
        <f ca="1">COUNTBLANK(INDIRECT("C283"))</f>
        <v>1</v>
      </c>
      <c r="AB283" s="61">
        <f ca="1">COUNTBLANK(INDIRECT("D283"))</f>
        <v>1</v>
      </c>
      <c r="AC283" s="61">
        <f ca="1">COUNTBLANK(INDIRECT("e283"))</f>
        <v>1</v>
      </c>
      <c r="AD283" s="61">
        <f ca="1">COUNTBLANK(INDIRECT("f283"))</f>
        <v>1</v>
      </c>
      <c r="AE283" s="61">
        <f ca="1">COUNTBLANK(INDIRECT("g283"))</f>
        <v>1</v>
      </c>
      <c r="AF283" s="61">
        <f ca="1">COUNTBLANK(INDIRECT("h283"))</f>
        <v>1</v>
      </c>
      <c r="AG283" s="61">
        <f ca="1">COUNTBLANK(INDIRECT("b283"))</f>
        <v>1</v>
      </c>
    </row>
    <row r="284" spans="1:33" x14ac:dyDescent="0.25">
      <c r="A284" s="2">
        <v>104</v>
      </c>
      <c r="B284" s="63"/>
      <c r="C284" s="56"/>
      <c r="D284" s="56"/>
      <c r="E284" s="56"/>
      <c r="F284" s="56"/>
      <c r="G284" s="56"/>
      <c r="H284" s="56"/>
      <c r="I284" s="109" t="str">
        <f ca="1">IF(AND(INDIRECT("H284")&gt;=INDIRECT("F284"),AA284=0,AB284=0,AC284=0,AF284=0),"Yes",IF(AND(INDIRECT("H284")&lt;INDIRECT("F284"),AA284=0,AB284=0,AC284=0,AF284=0),"No","N/A"))</f>
        <v>N/A</v>
      </c>
      <c r="J284" s="174" t="str">
        <f t="shared" ca="1" si="15"/>
        <v>No Error</v>
      </c>
      <c r="K284" s="174"/>
      <c r="L284" s="174"/>
      <c r="AA284" s="61">
        <f ca="1">COUNTBLANK(INDIRECT("C284"))</f>
        <v>1</v>
      </c>
      <c r="AB284" s="61">
        <f ca="1">COUNTBLANK(INDIRECT("D284"))</f>
        <v>1</v>
      </c>
      <c r="AC284" s="61">
        <f ca="1">COUNTBLANK(INDIRECT("e284"))</f>
        <v>1</v>
      </c>
      <c r="AD284" s="61">
        <f ca="1">COUNTBLANK(INDIRECT("f284"))</f>
        <v>1</v>
      </c>
      <c r="AE284" s="61">
        <f ca="1">COUNTBLANK(INDIRECT("g284"))</f>
        <v>1</v>
      </c>
      <c r="AF284" s="61">
        <f ca="1">COUNTBLANK(INDIRECT("h284"))</f>
        <v>1</v>
      </c>
      <c r="AG284" s="61">
        <f ca="1">COUNTBLANK(INDIRECT("b284"))</f>
        <v>1</v>
      </c>
    </row>
    <row r="285" spans="1:33" x14ac:dyDescent="0.25">
      <c r="A285" s="2">
        <v>105</v>
      </c>
      <c r="B285" s="63"/>
      <c r="C285" s="56"/>
      <c r="D285" s="56"/>
      <c r="E285" s="56"/>
      <c r="F285" s="56"/>
      <c r="G285" s="56"/>
      <c r="H285" s="56"/>
      <c r="I285" s="109" t="str">
        <f ca="1">IF(AND(INDIRECT("H285")&gt;=INDIRECT("F285"),AA285=0,AB285=0,AC285=0,AF285=0),"Yes",IF(AND(INDIRECT("H285")&lt;INDIRECT("F285"),AA285=0,AB285=0,AC285=0,AF285=0),"No","N/A"))</f>
        <v>N/A</v>
      </c>
      <c r="J285" s="174" t="str">
        <f t="shared" ca="1" si="15"/>
        <v>No Error</v>
      </c>
      <c r="K285" s="174"/>
      <c r="L285" s="174"/>
      <c r="AA285" s="61">
        <f ca="1">COUNTBLANK(INDIRECT("C285"))</f>
        <v>1</v>
      </c>
      <c r="AB285" s="61">
        <f ca="1">COUNTBLANK(INDIRECT("D285"))</f>
        <v>1</v>
      </c>
      <c r="AC285" s="61">
        <f ca="1">COUNTBLANK(INDIRECT("e285"))</f>
        <v>1</v>
      </c>
      <c r="AD285" s="61">
        <f ca="1">COUNTBLANK(INDIRECT("f285"))</f>
        <v>1</v>
      </c>
      <c r="AE285" s="61">
        <f ca="1">COUNTBLANK(INDIRECT("g285"))</f>
        <v>1</v>
      </c>
      <c r="AF285" s="61">
        <f ca="1">COUNTBLANK(INDIRECT("h285"))</f>
        <v>1</v>
      </c>
      <c r="AG285" s="61">
        <f ca="1">COUNTBLANK(INDIRECT("b285"))</f>
        <v>1</v>
      </c>
    </row>
    <row r="286" spans="1:33" x14ac:dyDescent="0.25">
      <c r="A286" s="2">
        <v>106</v>
      </c>
      <c r="B286" s="63"/>
      <c r="C286" s="56"/>
      <c r="D286" s="56"/>
      <c r="E286" s="56"/>
      <c r="F286" s="56"/>
      <c r="G286" s="56"/>
      <c r="H286" s="56"/>
      <c r="I286" s="109" t="str">
        <f ca="1">IF(AND(INDIRECT("H286")&gt;=INDIRECT("F286"),AA286=0,AB286=0,AC286=0,AF286=0),"Yes",IF(AND(INDIRECT("H286")&lt;INDIRECT("F286"),AA286=0,AB286=0,AC286=0,AF286=0),"No","N/A"))</f>
        <v>N/A</v>
      </c>
      <c r="J286" s="174" t="str">
        <f t="shared" ca="1" si="15"/>
        <v>No Error</v>
      </c>
      <c r="K286" s="174"/>
      <c r="L286" s="174"/>
      <c r="AA286" s="61">
        <f ca="1">COUNTBLANK(INDIRECT("C286"))</f>
        <v>1</v>
      </c>
      <c r="AB286" s="61">
        <f ca="1">COUNTBLANK(INDIRECT("D286"))</f>
        <v>1</v>
      </c>
      <c r="AC286" s="61">
        <f ca="1">COUNTBLANK(INDIRECT("e286"))</f>
        <v>1</v>
      </c>
      <c r="AD286" s="61">
        <f ca="1">COUNTBLANK(INDIRECT("f286"))</f>
        <v>1</v>
      </c>
      <c r="AE286" s="61">
        <f ca="1">COUNTBLANK(INDIRECT("g286"))</f>
        <v>1</v>
      </c>
      <c r="AF286" s="61">
        <f ca="1">COUNTBLANK(INDIRECT("h286"))</f>
        <v>1</v>
      </c>
      <c r="AG286" s="61">
        <f ca="1">COUNTBLANK(INDIRECT("b286"))</f>
        <v>1</v>
      </c>
    </row>
    <row r="287" spans="1:33" x14ac:dyDescent="0.25">
      <c r="A287" s="2">
        <v>107</v>
      </c>
      <c r="B287" s="63"/>
      <c r="C287" s="56"/>
      <c r="D287" s="56"/>
      <c r="E287" s="56"/>
      <c r="F287" s="56"/>
      <c r="G287" s="56"/>
      <c r="H287" s="56"/>
      <c r="I287" s="109" t="str">
        <f ca="1">IF(AND(INDIRECT("H287")&gt;=INDIRECT("F287"),AA287=0,AB287=0,AC287=0,AF287=0),"Yes",IF(AND(INDIRECT("H287")&lt;INDIRECT("F287"),AA287=0,AB287=0,AC287=0,AF287=0),"No","N/A"))</f>
        <v>N/A</v>
      </c>
      <c r="J287" s="174" t="str">
        <f t="shared" ca="1" si="15"/>
        <v>No Error</v>
      </c>
      <c r="K287" s="174"/>
      <c r="L287" s="174"/>
      <c r="AA287" s="61">
        <f ca="1">COUNTBLANK(INDIRECT("C287"))</f>
        <v>1</v>
      </c>
      <c r="AB287" s="61">
        <f ca="1">COUNTBLANK(INDIRECT("D287"))</f>
        <v>1</v>
      </c>
      <c r="AC287" s="61">
        <f ca="1">COUNTBLANK(INDIRECT("e287"))</f>
        <v>1</v>
      </c>
      <c r="AD287" s="61">
        <f ca="1">COUNTBLANK(INDIRECT("f287"))</f>
        <v>1</v>
      </c>
      <c r="AE287" s="61">
        <f ca="1">COUNTBLANK(INDIRECT("g287"))</f>
        <v>1</v>
      </c>
      <c r="AF287" s="61">
        <f ca="1">COUNTBLANK(INDIRECT("h287"))</f>
        <v>1</v>
      </c>
      <c r="AG287" s="61">
        <f ca="1">COUNTBLANK(INDIRECT("b287"))</f>
        <v>1</v>
      </c>
    </row>
    <row r="288" spans="1:33" x14ac:dyDescent="0.25">
      <c r="A288" s="2">
        <v>108</v>
      </c>
      <c r="B288" s="63"/>
      <c r="C288" s="56"/>
      <c r="D288" s="56"/>
      <c r="E288" s="56"/>
      <c r="F288" s="56"/>
      <c r="G288" s="56"/>
      <c r="H288" s="56"/>
      <c r="I288" s="109" t="str">
        <f ca="1">IF(AND(INDIRECT("H288")&gt;=INDIRECT("F288"),AA288=0,AB288=0,AC288=0,AF288=0),"Yes",IF(AND(INDIRECT("H288")&lt;INDIRECT("F288"),AA288=0,AB288=0,AC288=0,AF288=0),"No","N/A"))</f>
        <v>N/A</v>
      </c>
      <c r="J288" s="174" t="str">
        <f t="shared" ca="1" si="15"/>
        <v>No Error</v>
      </c>
      <c r="K288" s="174"/>
      <c r="L288" s="174"/>
      <c r="AA288" s="61">
        <f ca="1">COUNTBLANK(INDIRECT("C288"))</f>
        <v>1</v>
      </c>
      <c r="AB288" s="61">
        <f ca="1">COUNTBLANK(INDIRECT("D288"))</f>
        <v>1</v>
      </c>
      <c r="AC288" s="61">
        <f ca="1">COUNTBLANK(INDIRECT("e288"))</f>
        <v>1</v>
      </c>
      <c r="AD288" s="61">
        <f ca="1">COUNTBLANK(INDIRECT("f288"))</f>
        <v>1</v>
      </c>
      <c r="AE288" s="61">
        <f ca="1">COUNTBLANK(INDIRECT("g288"))</f>
        <v>1</v>
      </c>
      <c r="AF288" s="61">
        <f ca="1">COUNTBLANK(INDIRECT("h288"))</f>
        <v>1</v>
      </c>
      <c r="AG288" s="61">
        <f ca="1">COUNTBLANK(INDIRECT("b288"))</f>
        <v>1</v>
      </c>
    </row>
    <row r="289" spans="1:33" x14ac:dyDescent="0.25">
      <c r="A289" s="2">
        <v>109</v>
      </c>
      <c r="B289" s="63"/>
      <c r="C289" s="56"/>
      <c r="D289" s="56"/>
      <c r="E289" s="56"/>
      <c r="F289" s="56"/>
      <c r="G289" s="56"/>
      <c r="H289" s="56"/>
      <c r="I289" s="109" t="str">
        <f ca="1">IF(AND(INDIRECT("H289")&gt;=INDIRECT("F289"),AA289=0,AB289=0,AC289=0,AF289=0),"Yes",IF(AND(INDIRECT("H289")&lt;INDIRECT("F289"),AA289=0,AB289=0,AC289=0,AF289=0),"No","N/A"))</f>
        <v>N/A</v>
      </c>
      <c r="J289" s="174" t="str">
        <f t="shared" ca="1" si="15"/>
        <v>No Error</v>
      </c>
      <c r="K289" s="174"/>
      <c r="L289" s="174"/>
      <c r="AA289" s="61">
        <f ca="1">COUNTBLANK(INDIRECT("C289"))</f>
        <v>1</v>
      </c>
      <c r="AB289" s="61">
        <f ca="1">COUNTBLANK(INDIRECT("D289"))</f>
        <v>1</v>
      </c>
      <c r="AC289" s="61">
        <f ca="1">COUNTBLANK(INDIRECT("e289"))</f>
        <v>1</v>
      </c>
      <c r="AD289" s="61">
        <f ca="1">COUNTBLANK(INDIRECT("f289"))</f>
        <v>1</v>
      </c>
      <c r="AE289" s="61">
        <f ca="1">COUNTBLANK(INDIRECT("g289"))</f>
        <v>1</v>
      </c>
      <c r="AF289" s="61">
        <f ca="1">COUNTBLANK(INDIRECT("h289"))</f>
        <v>1</v>
      </c>
      <c r="AG289" s="61">
        <f ca="1">COUNTBLANK(INDIRECT("b289"))</f>
        <v>1</v>
      </c>
    </row>
    <row r="290" spans="1:33" x14ac:dyDescent="0.25">
      <c r="A290" s="2">
        <v>110</v>
      </c>
      <c r="B290" s="63"/>
      <c r="C290" s="56"/>
      <c r="D290" s="56"/>
      <c r="E290" s="56"/>
      <c r="F290" s="56"/>
      <c r="G290" s="56"/>
      <c r="H290" s="56"/>
      <c r="I290" s="109" t="str">
        <f ca="1">IF(AND(INDIRECT("H290")&gt;=INDIRECT("F290"),AA290=0,AB290=0,AC290=0,AF290=0),"Yes",IF(AND(INDIRECT("H290")&lt;INDIRECT("F290"),AA290=0,AB290=0,AC290=0,AF290=0),"No","N/A"))</f>
        <v>N/A</v>
      </c>
      <c r="J290" s="174" t="str">
        <f t="shared" ca="1" si="15"/>
        <v>No Error</v>
      </c>
      <c r="K290" s="174"/>
      <c r="L290" s="174"/>
      <c r="AA290" s="61">
        <f ca="1">COUNTBLANK(INDIRECT("C290"))</f>
        <v>1</v>
      </c>
      <c r="AB290" s="61">
        <f ca="1">COUNTBLANK(INDIRECT("D290"))</f>
        <v>1</v>
      </c>
      <c r="AC290" s="61">
        <f ca="1">COUNTBLANK(INDIRECT("e290"))</f>
        <v>1</v>
      </c>
      <c r="AD290" s="61">
        <f ca="1">COUNTBLANK(INDIRECT("f290"))</f>
        <v>1</v>
      </c>
      <c r="AE290" s="61">
        <f ca="1">COUNTBLANK(INDIRECT("g290"))</f>
        <v>1</v>
      </c>
      <c r="AF290" s="61">
        <f ca="1">COUNTBLANK(INDIRECT("h290"))</f>
        <v>1</v>
      </c>
      <c r="AG290" s="61">
        <f ca="1">COUNTBLANK(INDIRECT("b290"))</f>
        <v>1</v>
      </c>
    </row>
    <row r="291" spans="1:33" x14ac:dyDescent="0.25">
      <c r="A291" s="2">
        <v>111</v>
      </c>
      <c r="B291" s="63"/>
      <c r="C291" s="56"/>
      <c r="D291" s="56"/>
      <c r="E291" s="56"/>
      <c r="F291" s="56"/>
      <c r="G291" s="56"/>
      <c r="H291" s="56"/>
      <c r="I291" s="109" t="str">
        <f ca="1">IF(AND(INDIRECT("H291")&gt;=INDIRECT("F291"),AA291=0,AB291=0,AC291=0,AF291=0),"Yes",IF(AND(INDIRECT("H291")&lt;INDIRECT("F291"),AA291=0,AB291=0,AC291=0,AF291=0),"No","N/A"))</f>
        <v>N/A</v>
      </c>
      <c r="J291" s="174" t="str">
        <f t="shared" ca="1" si="15"/>
        <v>No Error</v>
      </c>
      <c r="K291" s="174"/>
      <c r="L291" s="174"/>
      <c r="AA291" s="61">
        <f ca="1">COUNTBLANK(INDIRECT("C291"))</f>
        <v>1</v>
      </c>
      <c r="AB291" s="61">
        <f ca="1">COUNTBLANK(INDIRECT("D291"))</f>
        <v>1</v>
      </c>
      <c r="AC291" s="61">
        <f ca="1">COUNTBLANK(INDIRECT("e291"))</f>
        <v>1</v>
      </c>
      <c r="AD291" s="61">
        <f ca="1">COUNTBLANK(INDIRECT("f291"))</f>
        <v>1</v>
      </c>
      <c r="AE291" s="61">
        <f ca="1">COUNTBLANK(INDIRECT("g291"))</f>
        <v>1</v>
      </c>
      <c r="AF291" s="61">
        <f ca="1">COUNTBLANK(INDIRECT("h291"))</f>
        <v>1</v>
      </c>
      <c r="AG291" s="61">
        <f ca="1">COUNTBLANK(INDIRECT("b291"))</f>
        <v>1</v>
      </c>
    </row>
    <row r="292" spans="1:33" x14ac:dyDescent="0.25">
      <c r="A292" s="2">
        <v>112</v>
      </c>
      <c r="B292" s="63"/>
      <c r="C292" s="56"/>
      <c r="D292" s="56"/>
      <c r="E292" s="56"/>
      <c r="F292" s="56"/>
      <c r="G292" s="56"/>
      <c r="H292" s="56"/>
      <c r="I292" s="109" t="str">
        <f ca="1">IF(AND(INDIRECT("H292")&gt;=INDIRECT("F292"),AA292=0,AB292=0,AC292=0,AF292=0),"Yes",IF(AND(INDIRECT("H292")&lt;INDIRECT("F292"),AA292=0,AB292=0,AC292=0,AF292=0),"No","N/A"))</f>
        <v>N/A</v>
      </c>
      <c r="J292" s="174" t="str">
        <f t="shared" ca="1" si="15"/>
        <v>No Error</v>
      </c>
      <c r="K292" s="174"/>
      <c r="L292" s="174"/>
      <c r="AA292" s="61">
        <f ca="1">COUNTBLANK(INDIRECT("C292"))</f>
        <v>1</v>
      </c>
      <c r="AB292" s="61">
        <f ca="1">COUNTBLANK(INDIRECT("D292"))</f>
        <v>1</v>
      </c>
      <c r="AC292" s="61">
        <f ca="1">COUNTBLANK(INDIRECT("e292"))</f>
        <v>1</v>
      </c>
      <c r="AD292" s="61">
        <f ca="1">COUNTBLANK(INDIRECT("f292"))</f>
        <v>1</v>
      </c>
      <c r="AE292" s="61">
        <f ca="1">COUNTBLANK(INDIRECT("g292"))</f>
        <v>1</v>
      </c>
      <c r="AF292" s="61">
        <f ca="1">COUNTBLANK(INDIRECT("h292"))</f>
        <v>1</v>
      </c>
      <c r="AG292" s="61">
        <f ca="1">COUNTBLANK(INDIRECT("b292"))</f>
        <v>1</v>
      </c>
    </row>
    <row r="293" spans="1:33" x14ac:dyDescent="0.25">
      <c r="A293" s="2">
        <v>113</v>
      </c>
      <c r="B293" s="63"/>
      <c r="C293" s="56"/>
      <c r="D293" s="56"/>
      <c r="E293" s="56"/>
      <c r="F293" s="56"/>
      <c r="G293" s="56"/>
      <c r="H293" s="56"/>
      <c r="I293" s="109" t="str">
        <f ca="1">IF(AND(INDIRECT("H293")&gt;=INDIRECT("F293"),AA293=0,AB293=0,AC293=0,AF293=0),"Yes",IF(AND(INDIRECT("H293")&lt;INDIRECT("F293"),AA293=0,AB293=0,AC293=0,AF293=0),"No","N/A"))</f>
        <v>N/A</v>
      </c>
      <c r="J293" s="174" t="str">
        <f t="shared" ca="1" si="15"/>
        <v>No Error</v>
      </c>
      <c r="K293" s="174"/>
      <c r="L293" s="174"/>
      <c r="AA293" s="61">
        <f ca="1">COUNTBLANK(INDIRECT("C293"))</f>
        <v>1</v>
      </c>
      <c r="AB293" s="61">
        <f ca="1">COUNTBLANK(INDIRECT("D293"))</f>
        <v>1</v>
      </c>
      <c r="AC293" s="61">
        <f ca="1">COUNTBLANK(INDIRECT("e293"))</f>
        <v>1</v>
      </c>
      <c r="AD293" s="61">
        <f ca="1">COUNTBLANK(INDIRECT("f293"))</f>
        <v>1</v>
      </c>
      <c r="AE293" s="61">
        <f ca="1">COUNTBLANK(INDIRECT("g293"))</f>
        <v>1</v>
      </c>
      <c r="AF293" s="61">
        <f ca="1">COUNTBLANK(INDIRECT("h293"))</f>
        <v>1</v>
      </c>
      <c r="AG293" s="61">
        <f ca="1">COUNTBLANK(INDIRECT("b293"))</f>
        <v>1</v>
      </c>
    </row>
    <row r="294" spans="1:33" x14ac:dyDescent="0.25">
      <c r="A294" s="2">
        <v>114</v>
      </c>
      <c r="B294" s="63"/>
      <c r="C294" s="56"/>
      <c r="D294" s="56"/>
      <c r="E294" s="56"/>
      <c r="F294" s="56"/>
      <c r="G294" s="56"/>
      <c r="H294" s="56"/>
      <c r="I294" s="109" t="str">
        <f ca="1">IF(AND(INDIRECT("H294")&gt;=INDIRECT("F294"),AA294=0,AB294=0,AC294=0,AF294=0),"Yes",IF(AND(INDIRECT("H294")&lt;INDIRECT("F294"),AA294=0,AB294=0,AC294=0,AF294=0),"No","N/A"))</f>
        <v>N/A</v>
      </c>
      <c r="J294" s="174" t="str">
        <f t="shared" ca="1" si="15"/>
        <v>No Error</v>
      </c>
      <c r="K294" s="174"/>
      <c r="L294" s="174"/>
      <c r="AA294" s="61">
        <f ca="1">COUNTBLANK(INDIRECT("C294"))</f>
        <v>1</v>
      </c>
      <c r="AB294" s="61">
        <f ca="1">COUNTBLANK(INDIRECT("D294"))</f>
        <v>1</v>
      </c>
      <c r="AC294" s="61">
        <f ca="1">COUNTBLANK(INDIRECT("e294"))</f>
        <v>1</v>
      </c>
      <c r="AD294" s="61">
        <f ca="1">COUNTBLANK(INDIRECT("f294"))</f>
        <v>1</v>
      </c>
      <c r="AE294" s="61">
        <f ca="1">COUNTBLANK(INDIRECT("g294"))</f>
        <v>1</v>
      </c>
      <c r="AF294" s="61">
        <f ca="1">COUNTBLANK(INDIRECT("h294"))</f>
        <v>1</v>
      </c>
      <c r="AG294" s="61">
        <f ca="1">COUNTBLANK(INDIRECT("b294"))</f>
        <v>1</v>
      </c>
    </row>
    <row r="295" spans="1:33" x14ac:dyDescent="0.25">
      <c r="A295" s="2">
        <v>115</v>
      </c>
      <c r="B295" s="63"/>
      <c r="C295" s="56"/>
      <c r="D295" s="56"/>
      <c r="E295" s="56"/>
      <c r="F295" s="56"/>
      <c r="G295" s="56"/>
      <c r="H295" s="56"/>
      <c r="I295" s="109" t="str">
        <f ca="1">IF(AND(INDIRECT("H295")&gt;=INDIRECT("F295"),AA295=0,AB295=0,AC295=0,AF295=0),"Yes",IF(AND(INDIRECT("H295")&lt;INDIRECT("F295"),AA295=0,AB295=0,AC295=0,AF295=0),"No","N/A"))</f>
        <v>N/A</v>
      </c>
      <c r="J295" s="174" t="str">
        <f t="shared" ca="1" si="15"/>
        <v>No Error</v>
      </c>
      <c r="K295" s="174"/>
      <c r="L295" s="174"/>
      <c r="AA295" s="61">
        <f ca="1">COUNTBLANK(INDIRECT("C295"))</f>
        <v>1</v>
      </c>
      <c r="AB295" s="61">
        <f ca="1">COUNTBLANK(INDIRECT("D295"))</f>
        <v>1</v>
      </c>
      <c r="AC295" s="61">
        <f ca="1">COUNTBLANK(INDIRECT("e295"))</f>
        <v>1</v>
      </c>
      <c r="AD295" s="61">
        <f ca="1">COUNTBLANK(INDIRECT("f295"))</f>
        <v>1</v>
      </c>
      <c r="AE295" s="61">
        <f ca="1">COUNTBLANK(INDIRECT("g295"))</f>
        <v>1</v>
      </c>
      <c r="AF295" s="61">
        <f ca="1">COUNTBLANK(INDIRECT("h295"))</f>
        <v>1</v>
      </c>
      <c r="AG295" s="61">
        <f ca="1">COUNTBLANK(INDIRECT("b295"))</f>
        <v>1</v>
      </c>
    </row>
    <row r="296" spans="1:33" x14ac:dyDescent="0.25">
      <c r="A296" s="2">
        <v>116</v>
      </c>
      <c r="B296" s="63"/>
      <c r="C296" s="56"/>
      <c r="D296" s="56"/>
      <c r="E296" s="56"/>
      <c r="F296" s="56"/>
      <c r="G296" s="56"/>
      <c r="H296" s="56"/>
      <c r="I296" s="109" t="str">
        <f ca="1">IF(AND(INDIRECT("H296")&gt;=INDIRECT("F296"),AA296=0,AB296=0,AC296=0,AF296=0),"Yes",IF(AND(INDIRECT("H296")&lt;INDIRECT("F296"),AA296=0,AB296=0,AC296=0,AF296=0),"No","N/A"))</f>
        <v>N/A</v>
      </c>
      <c r="J296" s="174" t="str">
        <f t="shared" ca="1" si="15"/>
        <v>No Error</v>
      </c>
      <c r="K296" s="174"/>
      <c r="L296" s="174"/>
      <c r="AA296" s="61">
        <f ca="1">COUNTBLANK(INDIRECT("C296"))</f>
        <v>1</v>
      </c>
      <c r="AB296" s="61">
        <f ca="1">COUNTBLANK(INDIRECT("D296"))</f>
        <v>1</v>
      </c>
      <c r="AC296" s="61">
        <f ca="1">COUNTBLANK(INDIRECT("e296"))</f>
        <v>1</v>
      </c>
      <c r="AD296" s="61">
        <f ca="1">COUNTBLANK(INDIRECT("f296"))</f>
        <v>1</v>
      </c>
      <c r="AE296" s="61">
        <f ca="1">COUNTBLANK(INDIRECT("g296"))</f>
        <v>1</v>
      </c>
      <c r="AF296" s="61">
        <f ca="1">COUNTBLANK(INDIRECT("h296"))</f>
        <v>1</v>
      </c>
      <c r="AG296" s="61">
        <f ca="1">COUNTBLANK(INDIRECT("b296"))</f>
        <v>1</v>
      </c>
    </row>
    <row r="297" spans="1:33" x14ac:dyDescent="0.25">
      <c r="A297" s="2">
        <v>117</v>
      </c>
      <c r="B297" s="63"/>
      <c r="C297" s="56"/>
      <c r="D297" s="56"/>
      <c r="E297" s="56"/>
      <c r="F297" s="56"/>
      <c r="G297" s="56"/>
      <c r="H297" s="56"/>
      <c r="I297" s="109" t="str">
        <f ca="1">IF(AND(INDIRECT("H297")&gt;=INDIRECT("F297"),AA297=0,AB297=0,AC297=0,AF297=0),"Yes",IF(AND(INDIRECT("H297")&lt;INDIRECT("F297"),AA297=0,AB297=0,AC297=0,AF297=0),"No","N/A"))</f>
        <v>N/A</v>
      </c>
      <c r="J297" s="174" t="str">
        <f t="shared" ca="1" si="15"/>
        <v>No Error</v>
      </c>
      <c r="K297" s="174"/>
      <c r="L297" s="174"/>
      <c r="AA297" s="61">
        <f ca="1">COUNTBLANK(INDIRECT("C297"))</f>
        <v>1</v>
      </c>
      <c r="AB297" s="61">
        <f ca="1">COUNTBLANK(INDIRECT("D297"))</f>
        <v>1</v>
      </c>
      <c r="AC297" s="61">
        <f ca="1">COUNTBLANK(INDIRECT("e297"))</f>
        <v>1</v>
      </c>
      <c r="AD297" s="61">
        <f ca="1">COUNTBLANK(INDIRECT("f297"))</f>
        <v>1</v>
      </c>
      <c r="AE297" s="61">
        <f ca="1">COUNTBLANK(INDIRECT("g297"))</f>
        <v>1</v>
      </c>
      <c r="AF297" s="61">
        <f ca="1">COUNTBLANK(INDIRECT("h297"))</f>
        <v>1</v>
      </c>
      <c r="AG297" s="61">
        <f ca="1">COUNTBLANK(INDIRECT("b297"))</f>
        <v>1</v>
      </c>
    </row>
    <row r="298" spans="1:33" x14ac:dyDescent="0.25">
      <c r="A298" s="2">
        <v>118</v>
      </c>
      <c r="B298" s="63"/>
      <c r="C298" s="56"/>
      <c r="D298" s="56"/>
      <c r="E298" s="56"/>
      <c r="F298" s="56"/>
      <c r="G298" s="56"/>
      <c r="H298" s="56"/>
      <c r="I298" s="109" t="str">
        <f ca="1">IF(AND(INDIRECT("H298")&gt;=INDIRECT("F298"),AA298=0,AB298=0,AC298=0,AF298=0),"Yes",IF(AND(INDIRECT("H298")&lt;INDIRECT("F298"),AA298=0,AB298=0,AC298=0,AF298=0),"No","N/A"))</f>
        <v>N/A</v>
      </c>
      <c r="J298" s="174" t="str">
        <f t="shared" ca="1" si="15"/>
        <v>No Error</v>
      </c>
      <c r="K298" s="174"/>
      <c r="L298" s="174"/>
      <c r="AA298" s="61">
        <f ca="1">COUNTBLANK(INDIRECT("C298"))</f>
        <v>1</v>
      </c>
      <c r="AB298" s="61">
        <f ca="1">COUNTBLANK(INDIRECT("D298"))</f>
        <v>1</v>
      </c>
      <c r="AC298" s="61">
        <f ca="1">COUNTBLANK(INDIRECT("e298"))</f>
        <v>1</v>
      </c>
      <c r="AD298" s="61">
        <f ca="1">COUNTBLANK(INDIRECT("f298"))</f>
        <v>1</v>
      </c>
      <c r="AE298" s="61">
        <f ca="1">COUNTBLANK(INDIRECT("g298"))</f>
        <v>1</v>
      </c>
      <c r="AF298" s="61">
        <f ca="1">COUNTBLANK(INDIRECT("h298"))</f>
        <v>1</v>
      </c>
      <c r="AG298" s="61">
        <f ca="1">COUNTBLANK(INDIRECT("b298"))</f>
        <v>1</v>
      </c>
    </row>
    <row r="299" spans="1:33" x14ac:dyDescent="0.25">
      <c r="A299" s="2">
        <v>119</v>
      </c>
      <c r="B299" s="63"/>
      <c r="C299" s="56"/>
      <c r="D299" s="56"/>
      <c r="E299" s="56"/>
      <c r="F299" s="56"/>
      <c r="G299" s="56"/>
      <c r="H299" s="56"/>
      <c r="I299" s="109" t="str">
        <f ca="1">IF(AND(INDIRECT("H299")&gt;=INDIRECT("F299"),AA299=0,AB299=0,AC299=0,AF299=0),"Yes",IF(AND(INDIRECT("H299")&lt;INDIRECT("F299"),AA299=0,AB299=0,AC299=0,AF299=0),"No","N/A"))</f>
        <v>N/A</v>
      </c>
      <c r="J299" s="174" t="str">
        <f t="shared" ca="1" si="15"/>
        <v>No Error</v>
      </c>
      <c r="K299" s="174"/>
      <c r="L299" s="174"/>
      <c r="AA299" s="61">
        <f ca="1">COUNTBLANK(INDIRECT("C299"))</f>
        <v>1</v>
      </c>
      <c r="AB299" s="61">
        <f ca="1">COUNTBLANK(INDIRECT("D299"))</f>
        <v>1</v>
      </c>
      <c r="AC299" s="61">
        <f ca="1">COUNTBLANK(INDIRECT("e299"))</f>
        <v>1</v>
      </c>
      <c r="AD299" s="61">
        <f ca="1">COUNTBLANK(INDIRECT("f299"))</f>
        <v>1</v>
      </c>
      <c r="AE299" s="61">
        <f ca="1">COUNTBLANK(INDIRECT("g299"))</f>
        <v>1</v>
      </c>
      <c r="AF299" s="61">
        <f ca="1">COUNTBLANK(INDIRECT("h299"))</f>
        <v>1</v>
      </c>
      <c r="AG299" s="61">
        <f ca="1">COUNTBLANK(INDIRECT("b299"))</f>
        <v>1</v>
      </c>
    </row>
    <row r="300" spans="1:33" x14ac:dyDescent="0.25">
      <c r="A300" s="2">
        <v>120</v>
      </c>
      <c r="B300" s="63"/>
      <c r="C300" s="56"/>
      <c r="D300" s="56"/>
      <c r="E300" s="56"/>
      <c r="F300" s="56"/>
      <c r="G300" s="56"/>
      <c r="H300" s="56"/>
      <c r="I300" s="109" t="str">
        <f ca="1">IF(AND(INDIRECT("H300")&gt;=INDIRECT("F300"),AA300=0,AB300=0,AC300=0,AF300=0),"Yes",IF(AND(INDIRECT("H300")&lt;INDIRECT("F300"),AA300=0,AB300=0,AC300=0,AF300=0),"No","N/A"))</f>
        <v>N/A</v>
      </c>
      <c r="J300" s="174" t="str">
        <f t="shared" ca="1" si="15"/>
        <v>No Error</v>
      </c>
      <c r="K300" s="174"/>
      <c r="L300" s="174"/>
      <c r="AA300" s="61">
        <f ca="1">COUNTBLANK(INDIRECT("C300"))</f>
        <v>1</v>
      </c>
      <c r="AB300" s="61">
        <f ca="1">COUNTBLANK(INDIRECT("D300"))</f>
        <v>1</v>
      </c>
      <c r="AC300" s="61">
        <f ca="1">COUNTBLANK(INDIRECT("e300"))</f>
        <v>1</v>
      </c>
      <c r="AD300" s="61">
        <f ca="1">COUNTBLANK(INDIRECT("f300"))</f>
        <v>1</v>
      </c>
      <c r="AE300" s="61">
        <f ca="1">COUNTBLANK(INDIRECT("g300"))</f>
        <v>1</v>
      </c>
      <c r="AF300" s="61">
        <f ca="1">COUNTBLANK(INDIRECT("h300"))</f>
        <v>1</v>
      </c>
      <c r="AG300" s="61">
        <f ca="1">COUNTBLANK(INDIRECT("b300"))</f>
        <v>1</v>
      </c>
    </row>
    <row r="301" spans="1:33" x14ac:dyDescent="0.25">
      <c r="A301" s="2">
        <v>121</v>
      </c>
      <c r="B301" s="63"/>
      <c r="C301" s="56"/>
      <c r="D301" s="56"/>
      <c r="E301" s="56"/>
      <c r="F301" s="56"/>
      <c r="G301" s="56"/>
      <c r="H301" s="56"/>
      <c r="I301" s="109" t="str">
        <f ca="1">IF(AND(INDIRECT("H301")&gt;=INDIRECT("F301"),AA301=0,AB301=0,AC301=0,AF301=0),"Yes",IF(AND(INDIRECT("H301")&lt;INDIRECT("F301"),AA301=0,AB301=0,AC301=0,AF301=0),"No","N/A"))</f>
        <v>N/A</v>
      </c>
      <c r="J301" s="174" t="str">
        <f t="shared" ca="1" si="15"/>
        <v>No Error</v>
      </c>
      <c r="K301" s="174"/>
      <c r="L301" s="174"/>
      <c r="AA301" s="61">
        <f ca="1">COUNTBLANK(INDIRECT("C301"))</f>
        <v>1</v>
      </c>
      <c r="AB301" s="61">
        <f ca="1">COUNTBLANK(INDIRECT("D301"))</f>
        <v>1</v>
      </c>
      <c r="AC301" s="61">
        <f ca="1">COUNTBLANK(INDIRECT("e301"))</f>
        <v>1</v>
      </c>
      <c r="AD301" s="61">
        <f ca="1">COUNTBLANK(INDIRECT("f301"))</f>
        <v>1</v>
      </c>
      <c r="AE301" s="61">
        <f ca="1">COUNTBLANK(INDIRECT("g301"))</f>
        <v>1</v>
      </c>
      <c r="AF301" s="61">
        <f ca="1">COUNTBLANK(INDIRECT("h301"))</f>
        <v>1</v>
      </c>
      <c r="AG301" s="61">
        <f ca="1">COUNTBLANK(INDIRECT("b301"))</f>
        <v>1</v>
      </c>
    </row>
    <row r="302" spans="1:33" x14ac:dyDescent="0.25">
      <c r="A302" s="2">
        <v>122</v>
      </c>
      <c r="B302" s="63"/>
      <c r="C302" s="56"/>
      <c r="D302" s="56"/>
      <c r="E302" s="56"/>
      <c r="F302" s="56"/>
      <c r="G302" s="56"/>
      <c r="H302" s="56"/>
      <c r="I302" s="109" t="str">
        <f ca="1">IF(AND(INDIRECT("H302")&gt;=INDIRECT("F302"),AA302=0,AB302=0,AC302=0,AF302=0),"Yes",IF(AND(INDIRECT("H302")&lt;INDIRECT("F302"),AA302=0,AB302=0,AC302=0,AF302=0),"No","N/A"))</f>
        <v>N/A</v>
      </c>
      <c r="J302" s="174" t="str">
        <f t="shared" ca="1" si="15"/>
        <v>No Error</v>
      </c>
      <c r="K302" s="174"/>
      <c r="L302" s="174"/>
      <c r="AA302" s="61">
        <f ca="1">COUNTBLANK(INDIRECT("C302"))</f>
        <v>1</v>
      </c>
      <c r="AB302" s="61">
        <f ca="1">COUNTBLANK(INDIRECT("D302"))</f>
        <v>1</v>
      </c>
      <c r="AC302" s="61">
        <f ca="1">COUNTBLANK(INDIRECT("e302"))</f>
        <v>1</v>
      </c>
      <c r="AD302" s="61">
        <f ca="1">COUNTBLANK(INDIRECT("f302"))</f>
        <v>1</v>
      </c>
      <c r="AE302" s="61">
        <f ca="1">COUNTBLANK(INDIRECT("g302"))</f>
        <v>1</v>
      </c>
      <c r="AF302" s="61">
        <f ca="1">COUNTBLANK(INDIRECT("h302"))</f>
        <v>1</v>
      </c>
      <c r="AG302" s="61">
        <f ca="1">COUNTBLANK(INDIRECT("b302"))</f>
        <v>1</v>
      </c>
    </row>
    <row r="303" spans="1:33" x14ac:dyDescent="0.25">
      <c r="A303" s="2">
        <v>123</v>
      </c>
      <c r="B303" s="63"/>
      <c r="C303" s="56"/>
      <c r="D303" s="56"/>
      <c r="E303" s="56"/>
      <c r="F303" s="56"/>
      <c r="G303" s="56"/>
      <c r="H303" s="56"/>
      <c r="I303" s="109" t="str">
        <f ca="1">IF(AND(INDIRECT("H303")&gt;=INDIRECT("F303"),AA303=0,AB303=0,AC303=0,AF303=0),"Yes",IF(AND(INDIRECT("H303")&lt;INDIRECT("F303"),AA303=0,AB303=0,AC303=0,AF303=0),"No","N/A"))</f>
        <v>N/A</v>
      </c>
      <c r="J303" s="174" t="str">
        <f t="shared" ca="1" si="15"/>
        <v>No Error</v>
      </c>
      <c r="K303" s="174"/>
      <c r="L303" s="174"/>
      <c r="AA303" s="61">
        <f ca="1">COUNTBLANK(INDIRECT("C303"))</f>
        <v>1</v>
      </c>
      <c r="AB303" s="61">
        <f ca="1">COUNTBLANK(INDIRECT("D303"))</f>
        <v>1</v>
      </c>
      <c r="AC303" s="61">
        <f ca="1">COUNTBLANK(INDIRECT("e303"))</f>
        <v>1</v>
      </c>
      <c r="AD303" s="61">
        <f ca="1">COUNTBLANK(INDIRECT("f303"))</f>
        <v>1</v>
      </c>
      <c r="AE303" s="61">
        <f ca="1">COUNTBLANK(INDIRECT("g303"))</f>
        <v>1</v>
      </c>
      <c r="AF303" s="61">
        <f ca="1">COUNTBLANK(INDIRECT("h303"))</f>
        <v>1</v>
      </c>
      <c r="AG303" s="61">
        <f ca="1">COUNTBLANK(INDIRECT("b303"))</f>
        <v>1</v>
      </c>
    </row>
    <row r="304" spans="1:33" x14ac:dyDescent="0.25">
      <c r="A304" s="2">
        <v>124</v>
      </c>
      <c r="B304" s="63"/>
      <c r="C304" s="56"/>
      <c r="D304" s="56"/>
      <c r="E304" s="56"/>
      <c r="F304" s="56"/>
      <c r="G304" s="56"/>
      <c r="H304" s="56"/>
      <c r="I304" s="109" t="str">
        <f ca="1">IF(AND(INDIRECT("H304")&gt;=INDIRECT("F304"),AA304=0,AB304=0,AC304=0,AF304=0),"Yes",IF(AND(INDIRECT("H304")&lt;INDIRECT("F304"),AA304=0,AB304=0,AC304=0,AF304=0),"No","N/A"))</f>
        <v>N/A</v>
      </c>
      <c r="J304" s="174" t="str">
        <f t="shared" ca="1" si="15"/>
        <v>No Error</v>
      </c>
      <c r="K304" s="174"/>
      <c r="L304" s="174"/>
      <c r="AA304" s="61">
        <f ca="1">COUNTBLANK(INDIRECT("C304"))</f>
        <v>1</v>
      </c>
      <c r="AB304" s="61">
        <f ca="1">COUNTBLANK(INDIRECT("D304"))</f>
        <v>1</v>
      </c>
      <c r="AC304" s="61">
        <f ca="1">COUNTBLANK(INDIRECT("e304"))</f>
        <v>1</v>
      </c>
      <c r="AD304" s="61">
        <f ca="1">COUNTBLANK(INDIRECT("f304"))</f>
        <v>1</v>
      </c>
      <c r="AE304" s="61">
        <f ca="1">COUNTBLANK(INDIRECT("g304"))</f>
        <v>1</v>
      </c>
      <c r="AF304" s="61">
        <f ca="1">COUNTBLANK(INDIRECT("h304"))</f>
        <v>1</v>
      </c>
      <c r="AG304" s="61">
        <f ca="1">COUNTBLANK(INDIRECT("b304"))</f>
        <v>1</v>
      </c>
    </row>
    <row r="305" spans="1:33" x14ac:dyDescent="0.25">
      <c r="A305" s="2">
        <v>125</v>
      </c>
      <c r="B305" s="63"/>
      <c r="C305" s="56"/>
      <c r="D305" s="56"/>
      <c r="E305" s="56"/>
      <c r="F305" s="56"/>
      <c r="G305" s="56"/>
      <c r="H305" s="56"/>
      <c r="I305" s="109" t="str">
        <f ca="1">IF(AND(INDIRECT("H305")&gt;=INDIRECT("F305"),AA305=0,AB305=0,AC305=0,AF305=0),"Yes",IF(AND(INDIRECT("H305")&lt;INDIRECT("F305"),AA305=0,AB305=0,AC305=0,AF305=0),"No","N/A"))</f>
        <v>N/A</v>
      </c>
      <c r="J305" s="174" t="str">
        <f t="shared" ca="1" si="15"/>
        <v>No Error</v>
      </c>
      <c r="K305" s="174"/>
      <c r="L305" s="174"/>
      <c r="AA305" s="61">
        <f ca="1">COUNTBLANK(INDIRECT("C305"))</f>
        <v>1</v>
      </c>
      <c r="AB305" s="61">
        <f ca="1">COUNTBLANK(INDIRECT("D305"))</f>
        <v>1</v>
      </c>
      <c r="AC305" s="61">
        <f ca="1">COUNTBLANK(INDIRECT("e305"))</f>
        <v>1</v>
      </c>
      <c r="AD305" s="61">
        <f ca="1">COUNTBLANK(INDIRECT("f305"))</f>
        <v>1</v>
      </c>
      <c r="AE305" s="61">
        <f ca="1">COUNTBLANK(INDIRECT("g305"))</f>
        <v>1</v>
      </c>
      <c r="AF305" s="61">
        <f ca="1">COUNTBLANK(INDIRECT("h305"))</f>
        <v>1</v>
      </c>
      <c r="AG305" s="61">
        <f ca="1">COUNTBLANK(INDIRECT("b305"))</f>
        <v>1</v>
      </c>
    </row>
    <row r="306" spans="1:33" x14ac:dyDescent="0.25">
      <c r="A306" s="2">
        <v>126</v>
      </c>
      <c r="B306" s="63"/>
      <c r="C306" s="56"/>
      <c r="D306" s="56"/>
      <c r="E306" s="56"/>
      <c r="F306" s="56"/>
      <c r="G306" s="56"/>
      <c r="H306" s="56"/>
      <c r="I306" s="109" t="str">
        <f ca="1">IF(AND(INDIRECT("H306")&gt;=INDIRECT("F306"),AA306=0,AB306=0,AC306=0,AF306=0),"Yes",IF(AND(INDIRECT("H306")&lt;INDIRECT("F306"),AA306=0,AB306=0,AC306=0,AF306=0),"No","N/A"))</f>
        <v>N/A</v>
      </c>
      <c r="J306" s="174" t="str">
        <f t="shared" ref="J306:J330" ca="1" si="16">IF(AND(AF306=0,AG306=0,AA306=0,AB306=0,AC306=0,AD306=0),"No Error",IF(AND(AF306=1,AG306=1,AA306=1,AB306=1,AC306=1,AD306=1),"No Error","Please supply all information"))</f>
        <v>No Error</v>
      </c>
      <c r="K306" s="174"/>
      <c r="L306" s="174"/>
      <c r="AA306" s="61">
        <f ca="1">COUNTBLANK(INDIRECT("C306"))</f>
        <v>1</v>
      </c>
      <c r="AB306" s="61">
        <f ca="1">COUNTBLANK(INDIRECT("D306"))</f>
        <v>1</v>
      </c>
      <c r="AC306" s="61">
        <f ca="1">COUNTBLANK(INDIRECT("e306"))</f>
        <v>1</v>
      </c>
      <c r="AD306" s="61">
        <f ca="1">COUNTBLANK(INDIRECT("f306"))</f>
        <v>1</v>
      </c>
      <c r="AE306" s="61">
        <f ca="1">COUNTBLANK(INDIRECT("g306"))</f>
        <v>1</v>
      </c>
      <c r="AF306" s="61">
        <f ca="1">COUNTBLANK(INDIRECT("h306"))</f>
        <v>1</v>
      </c>
      <c r="AG306" s="61">
        <f ca="1">COUNTBLANK(INDIRECT("b306"))</f>
        <v>1</v>
      </c>
    </row>
    <row r="307" spans="1:33" x14ac:dyDescent="0.25">
      <c r="A307" s="2">
        <v>127</v>
      </c>
      <c r="B307" s="63"/>
      <c r="C307" s="56"/>
      <c r="D307" s="56"/>
      <c r="E307" s="56"/>
      <c r="F307" s="56"/>
      <c r="G307" s="56"/>
      <c r="H307" s="56"/>
      <c r="I307" s="109" t="str">
        <f ca="1">IF(AND(INDIRECT("H307")&gt;=INDIRECT("F307"),AA307=0,AB307=0,AC307=0,AF307=0),"Yes",IF(AND(INDIRECT("H307")&lt;INDIRECT("F307"),AA307=0,AB307=0,AC307=0,AF307=0),"No","N/A"))</f>
        <v>N/A</v>
      </c>
      <c r="J307" s="174" t="str">
        <f t="shared" ca="1" si="16"/>
        <v>No Error</v>
      </c>
      <c r="K307" s="174"/>
      <c r="L307" s="174"/>
      <c r="AA307" s="61">
        <f ca="1">COUNTBLANK(INDIRECT("C307"))</f>
        <v>1</v>
      </c>
      <c r="AB307" s="61">
        <f ca="1">COUNTBLANK(INDIRECT("D307"))</f>
        <v>1</v>
      </c>
      <c r="AC307" s="61">
        <f ca="1">COUNTBLANK(INDIRECT("e307"))</f>
        <v>1</v>
      </c>
      <c r="AD307" s="61">
        <f ca="1">COUNTBLANK(INDIRECT("f307"))</f>
        <v>1</v>
      </c>
      <c r="AE307" s="61">
        <f ca="1">COUNTBLANK(INDIRECT("g307"))</f>
        <v>1</v>
      </c>
      <c r="AF307" s="61">
        <f ca="1">COUNTBLANK(INDIRECT("h307"))</f>
        <v>1</v>
      </c>
      <c r="AG307" s="61">
        <f ca="1">COUNTBLANK(INDIRECT("b307"))</f>
        <v>1</v>
      </c>
    </row>
    <row r="308" spans="1:33" x14ac:dyDescent="0.25">
      <c r="A308" s="2">
        <v>128</v>
      </c>
      <c r="B308" s="63"/>
      <c r="C308" s="56"/>
      <c r="D308" s="56"/>
      <c r="E308" s="56"/>
      <c r="F308" s="56"/>
      <c r="G308" s="56"/>
      <c r="H308" s="56"/>
      <c r="I308" s="109" t="str">
        <f ca="1">IF(AND(INDIRECT("H308")&gt;=INDIRECT("F308"),AA308=0,AB308=0,AC308=0,AF308=0),"Yes",IF(AND(INDIRECT("H308")&lt;INDIRECT("F308"),AA308=0,AB308=0,AC308=0,AF308=0),"No","N/A"))</f>
        <v>N/A</v>
      </c>
      <c r="J308" s="174" t="str">
        <f t="shared" ca="1" si="16"/>
        <v>No Error</v>
      </c>
      <c r="K308" s="174"/>
      <c r="L308" s="174"/>
      <c r="AA308" s="61">
        <f ca="1">COUNTBLANK(INDIRECT("C308"))</f>
        <v>1</v>
      </c>
      <c r="AB308" s="61">
        <f ca="1">COUNTBLANK(INDIRECT("D308"))</f>
        <v>1</v>
      </c>
      <c r="AC308" s="61">
        <f ca="1">COUNTBLANK(INDIRECT("e308"))</f>
        <v>1</v>
      </c>
      <c r="AD308" s="61">
        <f ca="1">COUNTBLANK(INDIRECT("f308"))</f>
        <v>1</v>
      </c>
      <c r="AE308" s="61">
        <f ca="1">COUNTBLANK(INDIRECT("g308"))</f>
        <v>1</v>
      </c>
      <c r="AF308" s="61">
        <f ca="1">COUNTBLANK(INDIRECT("h308"))</f>
        <v>1</v>
      </c>
      <c r="AG308" s="61">
        <f ca="1">COUNTBLANK(INDIRECT("b308"))</f>
        <v>1</v>
      </c>
    </row>
    <row r="309" spans="1:33" x14ac:dyDescent="0.25">
      <c r="A309" s="2">
        <v>129</v>
      </c>
      <c r="B309" s="63"/>
      <c r="C309" s="56"/>
      <c r="D309" s="56"/>
      <c r="E309" s="56"/>
      <c r="F309" s="56"/>
      <c r="G309" s="56"/>
      <c r="H309" s="56"/>
      <c r="I309" s="109" t="str">
        <f ca="1">IF(AND(INDIRECT("H309")&gt;=INDIRECT("F309"),AA309=0,AB309=0,AC309=0,AF309=0),"Yes",IF(AND(INDIRECT("H309")&lt;INDIRECT("F309"),AA309=0,AB309=0,AC309=0,AF309=0),"No","N/A"))</f>
        <v>N/A</v>
      </c>
      <c r="J309" s="174" t="str">
        <f t="shared" ca="1" si="16"/>
        <v>No Error</v>
      </c>
      <c r="K309" s="174"/>
      <c r="L309" s="174"/>
      <c r="AA309" s="61">
        <f ca="1">COUNTBLANK(INDIRECT("C309"))</f>
        <v>1</v>
      </c>
      <c r="AB309" s="61">
        <f ca="1">COUNTBLANK(INDIRECT("D309"))</f>
        <v>1</v>
      </c>
      <c r="AC309" s="61">
        <f ca="1">COUNTBLANK(INDIRECT("e309"))</f>
        <v>1</v>
      </c>
      <c r="AD309" s="61">
        <f ca="1">COUNTBLANK(INDIRECT("f309"))</f>
        <v>1</v>
      </c>
      <c r="AE309" s="61">
        <f ca="1">COUNTBLANK(INDIRECT("g309"))</f>
        <v>1</v>
      </c>
      <c r="AF309" s="61">
        <f ca="1">COUNTBLANK(INDIRECT("h309"))</f>
        <v>1</v>
      </c>
      <c r="AG309" s="61">
        <f ca="1">COUNTBLANK(INDIRECT("b309"))</f>
        <v>1</v>
      </c>
    </row>
    <row r="310" spans="1:33" x14ac:dyDescent="0.25">
      <c r="A310" s="2">
        <v>130</v>
      </c>
      <c r="B310" s="63"/>
      <c r="C310" s="56"/>
      <c r="D310" s="56"/>
      <c r="E310" s="56"/>
      <c r="F310" s="56"/>
      <c r="G310" s="56"/>
      <c r="H310" s="56"/>
      <c r="I310" s="109" t="str">
        <f ca="1">IF(AND(INDIRECT("H310")&gt;=INDIRECT("F310"),AA310=0,AB310=0,AC310=0,AF310=0),"Yes",IF(AND(INDIRECT("H310")&lt;INDIRECT("F310"),AA310=0,AB310=0,AC310=0,AF310=0),"No","N/A"))</f>
        <v>N/A</v>
      </c>
      <c r="J310" s="174" t="str">
        <f t="shared" ca="1" si="16"/>
        <v>No Error</v>
      </c>
      <c r="K310" s="174"/>
      <c r="L310" s="174"/>
      <c r="AA310" s="61">
        <f ca="1">COUNTBLANK(INDIRECT("C310"))</f>
        <v>1</v>
      </c>
      <c r="AB310" s="61">
        <f ca="1">COUNTBLANK(INDIRECT("D310"))</f>
        <v>1</v>
      </c>
      <c r="AC310" s="61">
        <f ca="1">COUNTBLANK(INDIRECT("e310"))</f>
        <v>1</v>
      </c>
      <c r="AD310" s="61">
        <f ca="1">COUNTBLANK(INDIRECT("f310"))</f>
        <v>1</v>
      </c>
      <c r="AE310" s="61">
        <f ca="1">COUNTBLANK(INDIRECT("g310"))</f>
        <v>1</v>
      </c>
      <c r="AF310" s="61">
        <f ca="1">COUNTBLANK(INDIRECT("h310"))</f>
        <v>1</v>
      </c>
      <c r="AG310" s="61">
        <f ca="1">COUNTBLANK(INDIRECT("b310"))</f>
        <v>1</v>
      </c>
    </row>
    <row r="311" spans="1:33" x14ac:dyDescent="0.25">
      <c r="A311" s="2">
        <v>131</v>
      </c>
      <c r="B311" s="63"/>
      <c r="C311" s="56"/>
      <c r="D311" s="56"/>
      <c r="E311" s="56"/>
      <c r="F311" s="56"/>
      <c r="G311" s="56"/>
      <c r="H311" s="56"/>
      <c r="I311" s="109" t="str">
        <f ca="1">IF(AND(INDIRECT("H311")&gt;=INDIRECT("F311"),AA311=0,AB311=0,AC311=0,AF311=0),"Yes",IF(AND(INDIRECT("H311")&lt;INDIRECT("F311"),AA311=0,AB311=0,AC311=0,AF311=0),"No","N/A"))</f>
        <v>N/A</v>
      </c>
      <c r="J311" s="174" t="str">
        <f t="shared" ca="1" si="16"/>
        <v>No Error</v>
      </c>
      <c r="K311" s="174"/>
      <c r="L311" s="174"/>
      <c r="AA311" s="61">
        <f ca="1">COUNTBLANK(INDIRECT("C311"))</f>
        <v>1</v>
      </c>
      <c r="AB311" s="61">
        <f ca="1">COUNTBLANK(INDIRECT("D311"))</f>
        <v>1</v>
      </c>
      <c r="AC311" s="61">
        <f ca="1">COUNTBLANK(INDIRECT("e311"))</f>
        <v>1</v>
      </c>
      <c r="AD311" s="61">
        <f ca="1">COUNTBLANK(INDIRECT("f311"))</f>
        <v>1</v>
      </c>
      <c r="AE311" s="61">
        <f ca="1">COUNTBLANK(INDIRECT("g311"))</f>
        <v>1</v>
      </c>
      <c r="AF311" s="61">
        <f ca="1">COUNTBLANK(INDIRECT("h311"))</f>
        <v>1</v>
      </c>
      <c r="AG311" s="61">
        <f ca="1">COUNTBLANK(INDIRECT("b311"))</f>
        <v>1</v>
      </c>
    </row>
    <row r="312" spans="1:33" x14ac:dyDescent="0.25">
      <c r="A312" s="2">
        <v>132</v>
      </c>
      <c r="B312" s="63"/>
      <c r="C312" s="56"/>
      <c r="D312" s="56"/>
      <c r="E312" s="56"/>
      <c r="F312" s="56"/>
      <c r="G312" s="56"/>
      <c r="H312" s="56"/>
      <c r="I312" s="109" t="str">
        <f ca="1">IF(AND(INDIRECT("H312")&gt;=INDIRECT("F312"),AA312=0,AB312=0,AC312=0,AF312=0),"Yes",IF(AND(INDIRECT("H312")&lt;INDIRECT("F312"),AA312=0,AB312=0,AC312=0,AF312=0),"No","N/A"))</f>
        <v>N/A</v>
      </c>
      <c r="J312" s="174" t="str">
        <f t="shared" ca="1" si="16"/>
        <v>No Error</v>
      </c>
      <c r="K312" s="174"/>
      <c r="L312" s="174"/>
      <c r="AA312" s="61">
        <f ca="1">COUNTBLANK(INDIRECT("C312"))</f>
        <v>1</v>
      </c>
      <c r="AB312" s="61">
        <f ca="1">COUNTBLANK(INDIRECT("D312"))</f>
        <v>1</v>
      </c>
      <c r="AC312" s="61">
        <f ca="1">COUNTBLANK(INDIRECT("e312"))</f>
        <v>1</v>
      </c>
      <c r="AD312" s="61">
        <f ca="1">COUNTBLANK(INDIRECT("f312"))</f>
        <v>1</v>
      </c>
      <c r="AE312" s="61">
        <f ca="1">COUNTBLANK(INDIRECT("g312"))</f>
        <v>1</v>
      </c>
      <c r="AF312" s="61">
        <f ca="1">COUNTBLANK(INDIRECT("h312"))</f>
        <v>1</v>
      </c>
      <c r="AG312" s="61">
        <f ca="1">COUNTBLANK(INDIRECT("b312"))</f>
        <v>1</v>
      </c>
    </row>
    <row r="313" spans="1:33" x14ac:dyDescent="0.25">
      <c r="A313" s="2">
        <v>133</v>
      </c>
      <c r="B313" s="63"/>
      <c r="C313" s="56"/>
      <c r="D313" s="56"/>
      <c r="E313" s="56"/>
      <c r="F313" s="56"/>
      <c r="G313" s="56"/>
      <c r="H313" s="56"/>
      <c r="I313" s="109" t="str">
        <f ca="1">IF(AND(INDIRECT("H313")&gt;=INDIRECT("F313"),AA313=0,AB313=0,AC313=0,AF313=0),"Yes",IF(AND(INDIRECT("H313")&lt;INDIRECT("F313"),AA313=0,AB313=0,AC313=0,AF313=0),"No","N/A"))</f>
        <v>N/A</v>
      </c>
      <c r="J313" s="174" t="str">
        <f t="shared" ca="1" si="16"/>
        <v>No Error</v>
      </c>
      <c r="K313" s="174"/>
      <c r="L313" s="174"/>
      <c r="AA313" s="61">
        <f ca="1">COUNTBLANK(INDIRECT("C313"))</f>
        <v>1</v>
      </c>
      <c r="AB313" s="61">
        <f ca="1">COUNTBLANK(INDIRECT("D313"))</f>
        <v>1</v>
      </c>
      <c r="AC313" s="61">
        <f ca="1">COUNTBLANK(INDIRECT("e313"))</f>
        <v>1</v>
      </c>
      <c r="AD313" s="61">
        <f ca="1">COUNTBLANK(INDIRECT("f313"))</f>
        <v>1</v>
      </c>
      <c r="AE313" s="61">
        <f ca="1">COUNTBLANK(INDIRECT("g313"))</f>
        <v>1</v>
      </c>
      <c r="AF313" s="61">
        <f ca="1">COUNTBLANK(INDIRECT("h313"))</f>
        <v>1</v>
      </c>
      <c r="AG313" s="61">
        <f ca="1">COUNTBLANK(INDIRECT("b313"))</f>
        <v>1</v>
      </c>
    </row>
    <row r="314" spans="1:33" x14ac:dyDescent="0.25">
      <c r="A314" s="2">
        <v>134</v>
      </c>
      <c r="B314" s="63"/>
      <c r="C314" s="56"/>
      <c r="D314" s="56"/>
      <c r="E314" s="56"/>
      <c r="F314" s="56"/>
      <c r="G314" s="56"/>
      <c r="H314" s="56"/>
      <c r="I314" s="109" t="str">
        <f ca="1">IF(AND(INDIRECT("H314")&gt;=INDIRECT("F314"),AA314=0,AB314=0,AC314=0,AF314=0),"Yes",IF(AND(INDIRECT("H314")&lt;INDIRECT("F314"),AA314=0,AB314=0,AC314=0,AF314=0),"No","N/A"))</f>
        <v>N/A</v>
      </c>
      <c r="J314" s="174" t="str">
        <f t="shared" ca="1" si="16"/>
        <v>No Error</v>
      </c>
      <c r="K314" s="174"/>
      <c r="L314" s="174"/>
      <c r="AA314" s="61">
        <f ca="1">COUNTBLANK(INDIRECT("C314"))</f>
        <v>1</v>
      </c>
      <c r="AB314" s="61">
        <f ca="1">COUNTBLANK(INDIRECT("D314"))</f>
        <v>1</v>
      </c>
      <c r="AC314" s="61">
        <f ca="1">COUNTBLANK(INDIRECT("e314"))</f>
        <v>1</v>
      </c>
      <c r="AD314" s="61">
        <f ca="1">COUNTBLANK(INDIRECT("f314"))</f>
        <v>1</v>
      </c>
      <c r="AE314" s="61">
        <f ca="1">COUNTBLANK(INDIRECT("g314"))</f>
        <v>1</v>
      </c>
      <c r="AF314" s="61">
        <f ca="1">COUNTBLANK(INDIRECT("h314"))</f>
        <v>1</v>
      </c>
      <c r="AG314" s="61">
        <f ca="1">COUNTBLANK(INDIRECT("b314"))</f>
        <v>1</v>
      </c>
    </row>
    <row r="315" spans="1:33" x14ac:dyDescent="0.25">
      <c r="A315" s="2">
        <v>135</v>
      </c>
      <c r="B315" s="63"/>
      <c r="C315" s="56"/>
      <c r="D315" s="56"/>
      <c r="E315" s="56"/>
      <c r="F315" s="56"/>
      <c r="G315" s="56"/>
      <c r="H315" s="56"/>
      <c r="I315" s="109" t="str">
        <f ca="1">IF(AND(INDIRECT("H315")&gt;=INDIRECT("F315"),AA315=0,AB315=0,AC315=0,AF315=0),"Yes",IF(AND(INDIRECT("H315")&lt;INDIRECT("F315"),AA315=0,AB315=0,AC315=0,AF315=0),"No","N/A"))</f>
        <v>N/A</v>
      </c>
      <c r="J315" s="174" t="str">
        <f t="shared" ca="1" si="16"/>
        <v>No Error</v>
      </c>
      <c r="K315" s="174"/>
      <c r="L315" s="174"/>
      <c r="AA315" s="61">
        <f ca="1">COUNTBLANK(INDIRECT("C315"))</f>
        <v>1</v>
      </c>
      <c r="AB315" s="61">
        <f ca="1">COUNTBLANK(INDIRECT("D315"))</f>
        <v>1</v>
      </c>
      <c r="AC315" s="61">
        <f ca="1">COUNTBLANK(INDIRECT("e315"))</f>
        <v>1</v>
      </c>
      <c r="AD315" s="61">
        <f ca="1">COUNTBLANK(INDIRECT("f315"))</f>
        <v>1</v>
      </c>
      <c r="AE315" s="61">
        <f ca="1">COUNTBLANK(INDIRECT("g315"))</f>
        <v>1</v>
      </c>
      <c r="AF315" s="61">
        <f ca="1">COUNTBLANK(INDIRECT("h315"))</f>
        <v>1</v>
      </c>
      <c r="AG315" s="61">
        <f ca="1">COUNTBLANK(INDIRECT("b315"))</f>
        <v>1</v>
      </c>
    </row>
    <row r="316" spans="1:33" x14ac:dyDescent="0.25">
      <c r="A316" s="2">
        <v>136</v>
      </c>
      <c r="B316" s="63"/>
      <c r="C316" s="56"/>
      <c r="D316" s="56"/>
      <c r="E316" s="56"/>
      <c r="F316" s="56"/>
      <c r="G316" s="56"/>
      <c r="H316" s="56"/>
      <c r="I316" s="109" t="str">
        <f ca="1">IF(AND(INDIRECT("H316")&gt;=INDIRECT("F316"),AA316=0,AB316=0,AC316=0,AF316=0),"Yes",IF(AND(INDIRECT("H316")&lt;INDIRECT("F316"),AA316=0,AB316=0,AC316=0,AF316=0),"No","N/A"))</f>
        <v>N/A</v>
      </c>
      <c r="J316" s="174" t="str">
        <f t="shared" ca="1" si="16"/>
        <v>No Error</v>
      </c>
      <c r="K316" s="174"/>
      <c r="L316" s="174"/>
      <c r="AA316" s="61">
        <f ca="1">COUNTBLANK(INDIRECT("C316"))</f>
        <v>1</v>
      </c>
      <c r="AB316" s="61">
        <f ca="1">COUNTBLANK(INDIRECT("D316"))</f>
        <v>1</v>
      </c>
      <c r="AC316" s="61">
        <f ca="1">COUNTBLANK(INDIRECT("e316"))</f>
        <v>1</v>
      </c>
      <c r="AD316" s="61">
        <f ca="1">COUNTBLANK(INDIRECT("f316"))</f>
        <v>1</v>
      </c>
      <c r="AE316" s="61">
        <f ca="1">COUNTBLANK(INDIRECT("g316"))</f>
        <v>1</v>
      </c>
      <c r="AF316" s="61">
        <f ca="1">COUNTBLANK(INDIRECT("h316"))</f>
        <v>1</v>
      </c>
      <c r="AG316" s="61">
        <f ca="1">COUNTBLANK(INDIRECT("b316"))</f>
        <v>1</v>
      </c>
    </row>
    <row r="317" spans="1:33" x14ac:dyDescent="0.25">
      <c r="A317" s="2">
        <v>137</v>
      </c>
      <c r="B317" s="63"/>
      <c r="C317" s="56"/>
      <c r="D317" s="56"/>
      <c r="E317" s="56"/>
      <c r="F317" s="56"/>
      <c r="G317" s="56"/>
      <c r="H317" s="56"/>
      <c r="I317" s="109" t="str">
        <f ca="1">IF(AND(INDIRECT("H317")&gt;=INDIRECT("F317"),AA317=0,AB317=0,AC317=0,AF317=0),"Yes",IF(AND(INDIRECT("H317")&lt;INDIRECT("F317"),AA317=0,AB317=0,AC317=0,AF317=0),"No","N/A"))</f>
        <v>N/A</v>
      </c>
      <c r="J317" s="174" t="str">
        <f t="shared" ca="1" si="16"/>
        <v>No Error</v>
      </c>
      <c r="K317" s="174"/>
      <c r="L317" s="174"/>
      <c r="AA317" s="61">
        <f ca="1">COUNTBLANK(INDIRECT("C317"))</f>
        <v>1</v>
      </c>
      <c r="AB317" s="61">
        <f ca="1">COUNTBLANK(INDIRECT("D317"))</f>
        <v>1</v>
      </c>
      <c r="AC317" s="61">
        <f ca="1">COUNTBLANK(INDIRECT("e317"))</f>
        <v>1</v>
      </c>
      <c r="AD317" s="61">
        <f ca="1">COUNTBLANK(INDIRECT("f317"))</f>
        <v>1</v>
      </c>
      <c r="AE317" s="61">
        <f ca="1">COUNTBLANK(INDIRECT("g317"))</f>
        <v>1</v>
      </c>
      <c r="AF317" s="61">
        <f ca="1">COUNTBLANK(INDIRECT("h317"))</f>
        <v>1</v>
      </c>
      <c r="AG317" s="61">
        <f ca="1">COUNTBLANK(INDIRECT("b317"))</f>
        <v>1</v>
      </c>
    </row>
    <row r="318" spans="1:33" x14ac:dyDescent="0.25">
      <c r="A318" s="2">
        <v>138</v>
      </c>
      <c r="B318" s="63"/>
      <c r="C318" s="56"/>
      <c r="D318" s="56"/>
      <c r="E318" s="56"/>
      <c r="F318" s="56"/>
      <c r="G318" s="56"/>
      <c r="H318" s="56"/>
      <c r="I318" s="109" t="str">
        <f ca="1">IF(AND(INDIRECT("H318")&gt;=INDIRECT("F318"),AA318=0,AB318=0,AC318=0,AF318=0),"Yes",IF(AND(INDIRECT("H318")&lt;INDIRECT("F318"),AA318=0,AB318=0,AC318=0,AF318=0),"No","N/A"))</f>
        <v>N/A</v>
      </c>
      <c r="J318" s="174" t="str">
        <f t="shared" ca="1" si="16"/>
        <v>No Error</v>
      </c>
      <c r="K318" s="174"/>
      <c r="L318" s="174"/>
      <c r="AA318" s="61">
        <f ca="1">COUNTBLANK(INDIRECT("C318"))</f>
        <v>1</v>
      </c>
      <c r="AB318" s="61">
        <f ca="1">COUNTBLANK(INDIRECT("D318"))</f>
        <v>1</v>
      </c>
      <c r="AC318" s="61">
        <f ca="1">COUNTBLANK(INDIRECT("e318"))</f>
        <v>1</v>
      </c>
      <c r="AD318" s="61">
        <f ca="1">COUNTBLANK(INDIRECT("f318"))</f>
        <v>1</v>
      </c>
      <c r="AE318" s="61">
        <f ca="1">COUNTBLANK(INDIRECT("g318"))</f>
        <v>1</v>
      </c>
      <c r="AF318" s="61">
        <f ca="1">COUNTBLANK(INDIRECT("h318"))</f>
        <v>1</v>
      </c>
      <c r="AG318" s="61">
        <f ca="1">COUNTBLANK(INDIRECT("b318"))</f>
        <v>1</v>
      </c>
    </row>
    <row r="319" spans="1:33" x14ac:dyDescent="0.25">
      <c r="A319" s="2">
        <v>139</v>
      </c>
      <c r="B319" s="63"/>
      <c r="C319" s="56"/>
      <c r="D319" s="56"/>
      <c r="E319" s="56"/>
      <c r="F319" s="56"/>
      <c r="G319" s="56"/>
      <c r="H319" s="56"/>
      <c r="I319" s="109" t="str">
        <f ca="1">IF(AND(INDIRECT("H319")&gt;=INDIRECT("F319"),AA319=0,AB319=0,AC319=0,AF319=0),"Yes",IF(AND(INDIRECT("H319")&lt;INDIRECT("F319"),AA319=0,AB319=0,AC319=0,AF319=0),"No","N/A"))</f>
        <v>N/A</v>
      </c>
      <c r="J319" s="174" t="str">
        <f t="shared" ca="1" si="16"/>
        <v>No Error</v>
      </c>
      <c r="K319" s="174"/>
      <c r="L319" s="174"/>
      <c r="AA319" s="61">
        <f ca="1">COUNTBLANK(INDIRECT("C319"))</f>
        <v>1</v>
      </c>
      <c r="AB319" s="61">
        <f ca="1">COUNTBLANK(INDIRECT("D319"))</f>
        <v>1</v>
      </c>
      <c r="AC319" s="61">
        <f ca="1">COUNTBLANK(INDIRECT("e319"))</f>
        <v>1</v>
      </c>
      <c r="AD319" s="61">
        <f ca="1">COUNTBLANK(INDIRECT("f319"))</f>
        <v>1</v>
      </c>
      <c r="AE319" s="61">
        <f ca="1">COUNTBLANK(INDIRECT("g319"))</f>
        <v>1</v>
      </c>
      <c r="AF319" s="61">
        <f ca="1">COUNTBLANK(INDIRECT("h319"))</f>
        <v>1</v>
      </c>
      <c r="AG319" s="61">
        <f ca="1">COUNTBLANK(INDIRECT("b319"))</f>
        <v>1</v>
      </c>
    </row>
    <row r="320" spans="1:33" x14ac:dyDescent="0.25">
      <c r="A320" s="2">
        <v>140</v>
      </c>
      <c r="B320" s="63"/>
      <c r="C320" s="56"/>
      <c r="D320" s="56"/>
      <c r="E320" s="56"/>
      <c r="F320" s="56"/>
      <c r="G320" s="56"/>
      <c r="H320" s="56"/>
      <c r="I320" s="109" t="str">
        <f ca="1">IF(AND(INDIRECT("H320")&gt;=INDIRECT("F320"),AA320=0,AB320=0,AC320=0,AF320=0),"Yes",IF(AND(INDIRECT("H320")&lt;INDIRECT("F320"),AA320=0,AB320=0,AC320=0,AF320=0),"No","N/A"))</f>
        <v>N/A</v>
      </c>
      <c r="J320" s="174" t="str">
        <f t="shared" ca="1" si="16"/>
        <v>No Error</v>
      </c>
      <c r="K320" s="174"/>
      <c r="L320" s="174"/>
      <c r="AA320" s="61">
        <f ca="1">COUNTBLANK(INDIRECT("C320"))</f>
        <v>1</v>
      </c>
      <c r="AB320" s="61">
        <f ca="1">COUNTBLANK(INDIRECT("D320"))</f>
        <v>1</v>
      </c>
      <c r="AC320" s="61">
        <f ca="1">COUNTBLANK(INDIRECT("e320"))</f>
        <v>1</v>
      </c>
      <c r="AD320" s="61">
        <f ca="1">COUNTBLANK(INDIRECT("f320"))</f>
        <v>1</v>
      </c>
      <c r="AE320" s="61">
        <f ca="1">COUNTBLANK(INDIRECT("g320"))</f>
        <v>1</v>
      </c>
      <c r="AF320" s="61">
        <f ca="1">COUNTBLANK(INDIRECT("h320"))</f>
        <v>1</v>
      </c>
      <c r="AG320" s="61">
        <f ca="1">COUNTBLANK(INDIRECT("b320"))</f>
        <v>1</v>
      </c>
    </row>
    <row r="321" spans="1:33" x14ac:dyDescent="0.25">
      <c r="A321" s="2">
        <v>141</v>
      </c>
      <c r="B321" s="63"/>
      <c r="C321" s="56"/>
      <c r="D321" s="56"/>
      <c r="E321" s="56"/>
      <c r="F321" s="56"/>
      <c r="G321" s="56"/>
      <c r="H321" s="56"/>
      <c r="I321" s="109" t="str">
        <f ca="1">IF(AND(INDIRECT("H321")&gt;=INDIRECT("F321"),AA321=0,AB321=0,AC321=0,AF321=0),"Yes",IF(AND(INDIRECT("H321")&lt;INDIRECT("F321"),AA321=0,AB321=0,AC321=0,AF321=0),"No","N/A"))</f>
        <v>N/A</v>
      </c>
      <c r="J321" s="174" t="str">
        <f t="shared" ca="1" si="16"/>
        <v>No Error</v>
      </c>
      <c r="K321" s="174"/>
      <c r="L321" s="174"/>
      <c r="AA321" s="61">
        <f ca="1">COUNTBLANK(INDIRECT("C321"))</f>
        <v>1</v>
      </c>
      <c r="AB321" s="61">
        <f ca="1">COUNTBLANK(INDIRECT("D321"))</f>
        <v>1</v>
      </c>
      <c r="AC321" s="61">
        <f ca="1">COUNTBLANK(INDIRECT("e321"))</f>
        <v>1</v>
      </c>
      <c r="AD321" s="61">
        <f ca="1">COUNTBLANK(INDIRECT("f321"))</f>
        <v>1</v>
      </c>
      <c r="AE321" s="61">
        <f ca="1">COUNTBLANK(INDIRECT("g321"))</f>
        <v>1</v>
      </c>
      <c r="AF321" s="61">
        <f ca="1">COUNTBLANK(INDIRECT("h321"))</f>
        <v>1</v>
      </c>
      <c r="AG321" s="61">
        <f ca="1">COUNTBLANK(INDIRECT("b321"))</f>
        <v>1</v>
      </c>
    </row>
    <row r="322" spans="1:33" x14ac:dyDescent="0.25">
      <c r="A322" s="2">
        <v>142</v>
      </c>
      <c r="B322" s="63"/>
      <c r="C322" s="56"/>
      <c r="D322" s="56"/>
      <c r="E322" s="56"/>
      <c r="F322" s="56"/>
      <c r="G322" s="56"/>
      <c r="H322" s="56"/>
      <c r="I322" s="109" t="str">
        <f ca="1">IF(AND(INDIRECT("H322")&gt;=INDIRECT("F322"),AA322=0,AB322=0,AC322=0,AF322=0),"Yes",IF(AND(INDIRECT("H322")&lt;INDIRECT("F322"),AA322=0,AB322=0,AC322=0,AF322=0),"No","N/A"))</f>
        <v>N/A</v>
      </c>
      <c r="J322" s="174" t="str">
        <f t="shared" ca="1" si="16"/>
        <v>No Error</v>
      </c>
      <c r="K322" s="174"/>
      <c r="L322" s="174"/>
      <c r="AA322" s="61">
        <f ca="1">COUNTBLANK(INDIRECT("C322"))</f>
        <v>1</v>
      </c>
      <c r="AB322" s="61">
        <f ca="1">COUNTBLANK(INDIRECT("D322"))</f>
        <v>1</v>
      </c>
      <c r="AC322" s="61">
        <f ca="1">COUNTBLANK(INDIRECT("e322"))</f>
        <v>1</v>
      </c>
      <c r="AD322" s="61">
        <f ca="1">COUNTBLANK(INDIRECT("f322"))</f>
        <v>1</v>
      </c>
      <c r="AE322" s="61">
        <f ca="1">COUNTBLANK(INDIRECT("g322"))</f>
        <v>1</v>
      </c>
      <c r="AF322" s="61">
        <f ca="1">COUNTBLANK(INDIRECT("h322"))</f>
        <v>1</v>
      </c>
      <c r="AG322" s="61">
        <f ca="1">COUNTBLANK(INDIRECT("b322"))</f>
        <v>1</v>
      </c>
    </row>
    <row r="323" spans="1:33" x14ac:dyDescent="0.25">
      <c r="A323" s="2">
        <v>143</v>
      </c>
      <c r="B323" s="63"/>
      <c r="C323" s="56"/>
      <c r="D323" s="56"/>
      <c r="E323" s="56"/>
      <c r="F323" s="56"/>
      <c r="G323" s="56"/>
      <c r="H323" s="56"/>
      <c r="I323" s="109" t="str">
        <f ca="1">IF(AND(INDIRECT("H323")&gt;=INDIRECT("F323"),AA323=0,AB323=0,AC323=0,AF323=0),"Yes",IF(AND(INDIRECT("H323")&lt;INDIRECT("F323"),AA323=0,AB323=0,AC323=0,AF323=0),"No","N/A"))</f>
        <v>N/A</v>
      </c>
      <c r="J323" s="174" t="str">
        <f t="shared" ca="1" si="16"/>
        <v>No Error</v>
      </c>
      <c r="K323" s="174"/>
      <c r="L323" s="174"/>
      <c r="AA323" s="61">
        <f ca="1">COUNTBLANK(INDIRECT("C323"))</f>
        <v>1</v>
      </c>
      <c r="AB323" s="61">
        <f ca="1">COUNTBLANK(INDIRECT("D323"))</f>
        <v>1</v>
      </c>
      <c r="AC323" s="61">
        <f ca="1">COUNTBLANK(INDIRECT("e323"))</f>
        <v>1</v>
      </c>
      <c r="AD323" s="61">
        <f ca="1">COUNTBLANK(INDIRECT("f323"))</f>
        <v>1</v>
      </c>
      <c r="AE323" s="61">
        <f ca="1">COUNTBLANK(INDIRECT("g323"))</f>
        <v>1</v>
      </c>
      <c r="AF323" s="61">
        <f ca="1">COUNTBLANK(INDIRECT("h323"))</f>
        <v>1</v>
      </c>
      <c r="AG323" s="61">
        <f ca="1">COUNTBLANK(INDIRECT("b323"))</f>
        <v>1</v>
      </c>
    </row>
    <row r="324" spans="1:33" x14ac:dyDescent="0.25">
      <c r="A324" s="2">
        <v>144</v>
      </c>
      <c r="B324" s="63"/>
      <c r="C324" s="56"/>
      <c r="D324" s="56"/>
      <c r="E324" s="56"/>
      <c r="F324" s="56"/>
      <c r="G324" s="56"/>
      <c r="H324" s="56"/>
      <c r="I324" s="109" t="str">
        <f ca="1">IF(AND(INDIRECT("H324")&gt;=INDIRECT("F324"),AA324=0,AB324=0,AC324=0,AF324=0),"Yes",IF(AND(INDIRECT("H324")&lt;INDIRECT("F324"),AA324=0,AB324=0,AC324=0,AF324=0),"No","N/A"))</f>
        <v>N/A</v>
      </c>
      <c r="J324" s="174" t="str">
        <f t="shared" ca="1" si="16"/>
        <v>No Error</v>
      </c>
      <c r="K324" s="174"/>
      <c r="L324" s="174"/>
      <c r="AA324" s="61">
        <f ca="1">COUNTBLANK(INDIRECT("C324"))</f>
        <v>1</v>
      </c>
      <c r="AB324" s="61">
        <f ca="1">COUNTBLANK(INDIRECT("D324"))</f>
        <v>1</v>
      </c>
      <c r="AC324" s="61">
        <f ca="1">COUNTBLANK(INDIRECT("e324"))</f>
        <v>1</v>
      </c>
      <c r="AD324" s="61">
        <f ca="1">COUNTBLANK(INDIRECT("f324"))</f>
        <v>1</v>
      </c>
      <c r="AE324" s="61">
        <f ca="1">COUNTBLANK(INDIRECT("g324"))</f>
        <v>1</v>
      </c>
      <c r="AF324" s="61">
        <f ca="1">COUNTBLANK(INDIRECT("h324"))</f>
        <v>1</v>
      </c>
      <c r="AG324" s="61">
        <f ca="1">COUNTBLANK(INDIRECT("b324"))</f>
        <v>1</v>
      </c>
    </row>
    <row r="325" spans="1:33" x14ac:dyDescent="0.25">
      <c r="A325" s="2">
        <v>145</v>
      </c>
      <c r="B325" s="63"/>
      <c r="C325" s="56"/>
      <c r="D325" s="56"/>
      <c r="E325" s="56"/>
      <c r="F325" s="56"/>
      <c r="G325" s="56"/>
      <c r="H325" s="56"/>
      <c r="I325" s="109" t="str">
        <f ca="1">IF(AND(INDIRECT("H325")&gt;=INDIRECT("F325"),AA325=0,AB325=0,AC325=0,AF325=0),"Yes",IF(AND(INDIRECT("H325")&lt;INDIRECT("F325"),AA325=0,AB325=0,AC325=0,AF325=0),"No","N/A"))</f>
        <v>N/A</v>
      </c>
      <c r="J325" s="174" t="str">
        <f t="shared" ca="1" si="16"/>
        <v>No Error</v>
      </c>
      <c r="K325" s="174"/>
      <c r="L325" s="174"/>
      <c r="AA325" s="61">
        <f ca="1">COUNTBLANK(INDIRECT("C325"))</f>
        <v>1</v>
      </c>
      <c r="AB325" s="61">
        <f ca="1">COUNTBLANK(INDIRECT("D325"))</f>
        <v>1</v>
      </c>
      <c r="AC325" s="61">
        <f ca="1">COUNTBLANK(INDIRECT("e325"))</f>
        <v>1</v>
      </c>
      <c r="AD325" s="61">
        <f ca="1">COUNTBLANK(INDIRECT("f325"))</f>
        <v>1</v>
      </c>
      <c r="AE325" s="61">
        <f ca="1">COUNTBLANK(INDIRECT("g325"))</f>
        <v>1</v>
      </c>
      <c r="AF325" s="61">
        <f ca="1">COUNTBLANK(INDIRECT("h325"))</f>
        <v>1</v>
      </c>
      <c r="AG325" s="61">
        <f ca="1">COUNTBLANK(INDIRECT("b325"))</f>
        <v>1</v>
      </c>
    </row>
    <row r="326" spans="1:33" x14ac:dyDescent="0.25">
      <c r="A326" s="2">
        <v>146</v>
      </c>
      <c r="B326" s="63"/>
      <c r="C326" s="56"/>
      <c r="D326" s="56"/>
      <c r="E326" s="56"/>
      <c r="F326" s="56"/>
      <c r="G326" s="56"/>
      <c r="H326" s="56"/>
      <c r="I326" s="109" t="str">
        <f ca="1">IF(AND(INDIRECT("H326")&gt;=INDIRECT("F326"),AA326=0,AB326=0,AC326=0,AF326=0),"Yes",IF(AND(INDIRECT("H326")&lt;INDIRECT("F326"),AA326=0,AB326=0,AC326=0,AF326=0),"No","N/A"))</f>
        <v>N/A</v>
      </c>
      <c r="J326" s="174" t="str">
        <f t="shared" ca="1" si="16"/>
        <v>No Error</v>
      </c>
      <c r="K326" s="174"/>
      <c r="L326" s="174"/>
      <c r="AA326" s="61">
        <f ca="1">COUNTBLANK(INDIRECT("C326"))</f>
        <v>1</v>
      </c>
      <c r="AB326" s="61">
        <f ca="1">COUNTBLANK(INDIRECT("D326"))</f>
        <v>1</v>
      </c>
      <c r="AC326" s="61">
        <f ca="1">COUNTBLANK(INDIRECT("e326"))</f>
        <v>1</v>
      </c>
      <c r="AD326" s="61">
        <f ca="1">COUNTBLANK(INDIRECT("f326"))</f>
        <v>1</v>
      </c>
      <c r="AE326" s="61">
        <f ca="1">COUNTBLANK(INDIRECT("g326"))</f>
        <v>1</v>
      </c>
      <c r="AF326" s="61">
        <f ca="1">COUNTBLANK(INDIRECT("h326"))</f>
        <v>1</v>
      </c>
      <c r="AG326" s="61">
        <f ca="1">COUNTBLANK(INDIRECT("b326"))</f>
        <v>1</v>
      </c>
    </row>
    <row r="327" spans="1:33" x14ac:dyDescent="0.25">
      <c r="A327" s="2">
        <v>147</v>
      </c>
      <c r="B327" s="63"/>
      <c r="C327" s="56"/>
      <c r="D327" s="56"/>
      <c r="E327" s="56"/>
      <c r="F327" s="56"/>
      <c r="G327" s="56"/>
      <c r="H327" s="56"/>
      <c r="I327" s="109" t="str">
        <f ca="1">IF(AND(INDIRECT("H327")&gt;=INDIRECT("F327"),AA327=0,AB327=0,AC327=0,AF327=0),"Yes",IF(AND(INDIRECT("H327")&lt;INDIRECT("F327"),AA327=0,AB327=0,AC327=0,AF327=0),"No","N/A"))</f>
        <v>N/A</v>
      </c>
      <c r="J327" s="174" t="str">
        <f t="shared" ca="1" si="16"/>
        <v>No Error</v>
      </c>
      <c r="K327" s="174"/>
      <c r="L327" s="174"/>
      <c r="AA327" s="61">
        <f ca="1">COUNTBLANK(INDIRECT("C327"))</f>
        <v>1</v>
      </c>
      <c r="AB327" s="61">
        <f ca="1">COUNTBLANK(INDIRECT("D327"))</f>
        <v>1</v>
      </c>
      <c r="AC327" s="61">
        <f ca="1">COUNTBLANK(INDIRECT("e327"))</f>
        <v>1</v>
      </c>
      <c r="AD327" s="61">
        <f ca="1">COUNTBLANK(INDIRECT("f327"))</f>
        <v>1</v>
      </c>
      <c r="AE327" s="61">
        <f ca="1">COUNTBLANK(INDIRECT("g327"))</f>
        <v>1</v>
      </c>
      <c r="AF327" s="61">
        <f ca="1">COUNTBLANK(INDIRECT("h327"))</f>
        <v>1</v>
      </c>
      <c r="AG327" s="61">
        <f ca="1">COUNTBLANK(INDIRECT("b327"))</f>
        <v>1</v>
      </c>
    </row>
    <row r="328" spans="1:33" x14ac:dyDescent="0.25">
      <c r="A328" s="2">
        <v>148</v>
      </c>
      <c r="B328" s="63"/>
      <c r="C328" s="56"/>
      <c r="D328" s="56"/>
      <c r="E328" s="56"/>
      <c r="F328" s="56"/>
      <c r="G328" s="56"/>
      <c r="H328" s="56"/>
      <c r="I328" s="109" t="str">
        <f ca="1">IF(AND(INDIRECT("H328")&gt;=INDIRECT("F328"),AA328=0,AB328=0,AC328=0,AF328=0),"Yes",IF(AND(INDIRECT("H328")&lt;INDIRECT("F328"),AA328=0,AB328=0,AC328=0,AF328=0),"No","N/A"))</f>
        <v>N/A</v>
      </c>
      <c r="J328" s="174" t="str">
        <f t="shared" ca="1" si="16"/>
        <v>No Error</v>
      </c>
      <c r="K328" s="174"/>
      <c r="L328" s="174"/>
      <c r="AA328" s="61">
        <f ca="1">COUNTBLANK(INDIRECT("C328"))</f>
        <v>1</v>
      </c>
      <c r="AB328" s="61">
        <f ca="1">COUNTBLANK(INDIRECT("D328"))</f>
        <v>1</v>
      </c>
      <c r="AC328" s="61">
        <f ca="1">COUNTBLANK(INDIRECT("e328"))</f>
        <v>1</v>
      </c>
      <c r="AD328" s="61">
        <f ca="1">COUNTBLANK(INDIRECT("f328"))</f>
        <v>1</v>
      </c>
      <c r="AE328" s="61">
        <f ca="1">COUNTBLANK(INDIRECT("g328"))</f>
        <v>1</v>
      </c>
      <c r="AF328" s="61">
        <f ca="1">COUNTBLANK(INDIRECT("h328"))</f>
        <v>1</v>
      </c>
      <c r="AG328" s="61">
        <f ca="1">COUNTBLANK(INDIRECT("b328"))</f>
        <v>1</v>
      </c>
    </row>
    <row r="329" spans="1:33" x14ac:dyDescent="0.25">
      <c r="A329" s="2">
        <v>149</v>
      </c>
      <c r="B329" s="63"/>
      <c r="C329" s="56"/>
      <c r="D329" s="56"/>
      <c r="E329" s="56"/>
      <c r="F329" s="56"/>
      <c r="G329" s="56"/>
      <c r="H329" s="56"/>
      <c r="I329" s="109" t="str">
        <f ca="1">IF(AND(INDIRECT("H329")&gt;=INDIRECT("F329"),AA329=0,AB329=0,AC329=0,AF329=0),"Yes",IF(AND(INDIRECT("H329")&lt;INDIRECT("F329"),AA329=0,AB329=0,AC329=0,AF329=0),"No","N/A"))</f>
        <v>N/A</v>
      </c>
      <c r="J329" s="174" t="str">
        <f t="shared" ca="1" si="16"/>
        <v>No Error</v>
      </c>
      <c r="K329" s="174"/>
      <c r="L329" s="174"/>
      <c r="AA329" s="61">
        <f ca="1">COUNTBLANK(INDIRECT("C329"))</f>
        <v>1</v>
      </c>
      <c r="AB329" s="61">
        <f ca="1">COUNTBLANK(INDIRECT("D329"))</f>
        <v>1</v>
      </c>
      <c r="AC329" s="61">
        <f ca="1">COUNTBLANK(INDIRECT("e329"))</f>
        <v>1</v>
      </c>
      <c r="AD329" s="61">
        <f ca="1">COUNTBLANK(INDIRECT("f329"))</f>
        <v>1</v>
      </c>
      <c r="AE329" s="61">
        <f ca="1">COUNTBLANK(INDIRECT("g329"))</f>
        <v>1</v>
      </c>
      <c r="AF329" s="61">
        <f ca="1">COUNTBLANK(INDIRECT("h329"))</f>
        <v>1</v>
      </c>
      <c r="AG329" s="61">
        <f ca="1">COUNTBLANK(INDIRECT("b329"))</f>
        <v>1</v>
      </c>
    </row>
    <row r="330" spans="1:33" x14ac:dyDescent="0.25">
      <c r="A330" s="2">
        <v>150</v>
      </c>
      <c r="B330" s="63"/>
      <c r="C330" s="56"/>
      <c r="D330" s="56"/>
      <c r="E330" s="56"/>
      <c r="F330" s="56"/>
      <c r="G330" s="56"/>
      <c r="H330" s="56"/>
      <c r="I330" s="109" t="str">
        <f ca="1">IF(AND(INDIRECT("H330")&gt;=INDIRECT("F330"),AA330=0,AB330=0,AC330=0,AF330=0),"Yes",IF(AND(INDIRECT("H330")&lt;INDIRECT("F330"),AA330=0,AB330=0,AC330=0,AF330=0),"No","N/A"))</f>
        <v>N/A</v>
      </c>
      <c r="J330" s="174" t="str">
        <f t="shared" ca="1" si="16"/>
        <v>No Error</v>
      </c>
      <c r="K330" s="174"/>
      <c r="L330" s="174"/>
      <c r="AA330" s="61">
        <f ca="1">COUNTBLANK(INDIRECT("C330"))</f>
        <v>1</v>
      </c>
      <c r="AB330" s="61">
        <f ca="1">COUNTBLANK(INDIRECT("D330"))</f>
        <v>1</v>
      </c>
      <c r="AC330" s="61">
        <f ca="1">COUNTBLANK(INDIRECT("e330"))</f>
        <v>1</v>
      </c>
      <c r="AD330" s="61">
        <f ca="1">COUNTBLANK(INDIRECT("f330"))</f>
        <v>1</v>
      </c>
      <c r="AE330" s="61">
        <f ca="1">COUNTBLANK(INDIRECT("g330"))</f>
        <v>1</v>
      </c>
      <c r="AF330" s="61">
        <f ca="1">COUNTBLANK(INDIRECT("h330"))</f>
        <v>1</v>
      </c>
      <c r="AG330" s="61">
        <f ca="1">COUNTBLANK(INDIRECT("b330"))</f>
        <v>1</v>
      </c>
    </row>
    <row r="331" spans="1:33" ht="18.75" x14ac:dyDescent="0.3">
      <c r="B331" s="19" t="s">
        <v>14</v>
      </c>
      <c r="C331" s="19" t="s">
        <v>39</v>
      </c>
      <c r="D331" s="40" t="s">
        <v>40</v>
      </c>
      <c r="E331" s="40" t="s">
        <v>41</v>
      </c>
      <c r="F331" s="40" t="s">
        <v>42</v>
      </c>
      <c r="G331" s="40" t="s">
        <v>43</v>
      </c>
      <c r="H331" s="40" t="s">
        <v>44</v>
      </c>
      <c r="I331" s="40" t="s">
        <v>16</v>
      </c>
      <c r="J331" s="175" t="s">
        <v>187</v>
      </c>
      <c r="K331" s="175"/>
      <c r="L331" s="175"/>
      <c r="M331" s="13"/>
      <c r="N331" s="13"/>
      <c r="AA331" s="61"/>
      <c r="AB331" s="61"/>
      <c r="AC331" s="61"/>
      <c r="AD331" s="61"/>
      <c r="AE331" s="61"/>
      <c r="AF331" s="61"/>
      <c r="AG331" s="61"/>
    </row>
    <row r="332" spans="1:33" ht="21" x14ac:dyDescent="0.25">
      <c r="B332" s="179" t="s">
        <v>38</v>
      </c>
      <c r="C332" s="179"/>
      <c r="D332" s="179"/>
      <c r="E332" s="179"/>
      <c r="F332" s="179"/>
      <c r="G332" s="179"/>
      <c r="H332" s="179"/>
      <c r="I332" s="179"/>
      <c r="J332" s="45"/>
      <c r="K332" s="45"/>
      <c r="L332" s="45"/>
      <c r="M332" s="45"/>
      <c r="N332" s="43"/>
      <c r="AA332" s="61"/>
      <c r="AB332" s="61"/>
      <c r="AC332" s="61"/>
      <c r="AD332" s="61"/>
      <c r="AE332" s="61"/>
      <c r="AF332" s="61"/>
      <c r="AG332" s="61"/>
    </row>
    <row r="333" spans="1:33" x14ac:dyDescent="0.25">
      <c r="A333" s="2">
        <v>1</v>
      </c>
      <c r="B333" s="63"/>
      <c r="C333" s="56"/>
      <c r="D333" s="56"/>
      <c r="E333" s="56"/>
      <c r="F333" s="56"/>
      <c r="G333" s="56"/>
      <c r="H333" s="56"/>
      <c r="I333" s="110" t="str">
        <f ca="1">IF(AND(INDIRECT("H333")&gt;=INDIRECT("F333"),AA333=0,AB333=0,AC333=0,AF333=0),"Yes",IF(AND(INDIRECT("H333")&lt;INDIRECT("F333"),AA333=0,AB333=0,AC333=0,AF333=0),"No","N/A"))</f>
        <v>N/A</v>
      </c>
      <c r="J333" s="174" t="str">
        <f t="shared" ref="J333:J357" ca="1" si="17">IF(AND(AF333=0,AG333=0,AA333=0,AB333=0,AC333=0,AD333=0),"No Error",IF(AND(AF333=1,AG333=1,AA333=1,AB333=1,AC333=1,AD333=1),"No Error","Please supply all information"))</f>
        <v>No Error</v>
      </c>
      <c r="K333" s="174"/>
      <c r="L333" s="174"/>
      <c r="AA333" s="61">
        <f ca="1">COUNTBLANK(INDIRECT("C333"))</f>
        <v>1</v>
      </c>
      <c r="AB333" s="61">
        <f ca="1">COUNTBLANK(INDIRECT("d333"))</f>
        <v>1</v>
      </c>
      <c r="AC333" s="61">
        <f ca="1">COUNTBLANK(INDIRECT("e333"))</f>
        <v>1</v>
      </c>
      <c r="AD333" s="61">
        <f ca="1">COUNTBLANK(INDIRECT("f333"))</f>
        <v>1</v>
      </c>
      <c r="AE333" s="61">
        <f ca="1">COUNTBLANK(INDIRECT("g333"))</f>
        <v>1</v>
      </c>
      <c r="AF333" s="61">
        <f ca="1">COUNTBLANK(INDIRECT("h333"))</f>
        <v>1</v>
      </c>
      <c r="AG333" s="61">
        <f ca="1">COUNTBLANK(INDIRECT("b333"))</f>
        <v>1</v>
      </c>
    </row>
    <row r="334" spans="1:33" x14ac:dyDescent="0.25">
      <c r="A334" s="2">
        <v>2</v>
      </c>
      <c r="B334" s="63"/>
      <c r="C334" s="56"/>
      <c r="D334" s="56"/>
      <c r="E334" s="56"/>
      <c r="F334" s="56"/>
      <c r="G334" s="56"/>
      <c r="H334" s="56"/>
      <c r="I334" s="110" t="str">
        <f ca="1">IF(AND(INDIRECT("H334")&gt;=INDIRECT("F334"),AA334=0,AB334=0,AC334=0,AF334=0),"Yes",IF(AND(INDIRECT("H334")&lt;INDIRECT("F334"),AA334=0,AB334=0,AC334=0,AF334=0),"No","N/A"))</f>
        <v>N/A</v>
      </c>
      <c r="J334" s="174" t="str">
        <f t="shared" ca="1" si="17"/>
        <v>No Error</v>
      </c>
      <c r="K334" s="174"/>
      <c r="L334" s="174"/>
      <c r="AA334" s="61">
        <f ca="1">COUNTBLANK(INDIRECT("C334"))</f>
        <v>1</v>
      </c>
      <c r="AB334" s="61">
        <f ca="1">COUNTBLANK(INDIRECT("d334"))</f>
        <v>1</v>
      </c>
      <c r="AC334" s="61">
        <f ca="1">COUNTBLANK(INDIRECT("e334"))</f>
        <v>1</v>
      </c>
      <c r="AD334" s="61">
        <f ca="1">COUNTBLANK(INDIRECT("f334"))</f>
        <v>1</v>
      </c>
      <c r="AE334" s="61">
        <f ca="1">COUNTBLANK(INDIRECT("g334"))</f>
        <v>1</v>
      </c>
      <c r="AF334" s="61">
        <f ca="1">COUNTBLANK(INDIRECT("h334"))</f>
        <v>1</v>
      </c>
      <c r="AG334" s="61">
        <f ca="1">COUNTBLANK(INDIRECT("b334"))</f>
        <v>1</v>
      </c>
    </row>
    <row r="335" spans="1:33" x14ac:dyDescent="0.25">
      <c r="A335" s="2">
        <v>3</v>
      </c>
      <c r="B335" s="63"/>
      <c r="C335" s="56"/>
      <c r="D335" s="56"/>
      <c r="E335" s="56"/>
      <c r="F335" s="56"/>
      <c r="G335" s="56"/>
      <c r="H335" s="56"/>
      <c r="I335" s="110" t="str">
        <f ca="1">IF(AND(INDIRECT("H335")&gt;=INDIRECT("F335"),AA335=0,AB335=0,AC335=0,AF335=0),"Yes",IF(AND(INDIRECT("H335")&lt;INDIRECT("F335"),AA335=0,AB335=0,AC335=0,AF335=0),"No","N/A"))</f>
        <v>N/A</v>
      </c>
      <c r="J335" s="174" t="str">
        <f t="shared" ca="1" si="17"/>
        <v>No Error</v>
      </c>
      <c r="K335" s="174"/>
      <c r="L335" s="174"/>
      <c r="AA335" s="61">
        <f ca="1">COUNTBLANK(INDIRECT("C335"))</f>
        <v>1</v>
      </c>
      <c r="AB335" s="61">
        <f ca="1">COUNTBLANK(INDIRECT("d335"))</f>
        <v>1</v>
      </c>
      <c r="AC335" s="61">
        <f ca="1">COUNTBLANK(INDIRECT("e335"))</f>
        <v>1</v>
      </c>
      <c r="AD335" s="61">
        <f ca="1">COUNTBLANK(INDIRECT("f335"))</f>
        <v>1</v>
      </c>
      <c r="AE335" s="61">
        <f ca="1">COUNTBLANK(INDIRECT("g335"))</f>
        <v>1</v>
      </c>
      <c r="AF335" s="61">
        <f ca="1">COUNTBLANK(INDIRECT("h335"))</f>
        <v>1</v>
      </c>
      <c r="AG335" s="61">
        <f ca="1">COUNTBLANK(INDIRECT("b335"))</f>
        <v>1</v>
      </c>
    </row>
    <row r="336" spans="1:33" x14ac:dyDescent="0.25">
      <c r="A336" s="2">
        <v>4</v>
      </c>
      <c r="B336" s="63"/>
      <c r="C336" s="56"/>
      <c r="D336" s="56"/>
      <c r="E336" s="56"/>
      <c r="F336" s="56"/>
      <c r="G336" s="56"/>
      <c r="H336" s="56"/>
      <c r="I336" s="110" t="str">
        <f ca="1">IF(AND(INDIRECT("H336")&gt;=INDIRECT("F336"),AA336=0,AB336=0,AC336=0,AF336=0),"Yes",IF(AND(INDIRECT("H336")&lt;INDIRECT("F336"),AA336=0,AB336=0,AC336=0,AF336=0),"No","N/A"))</f>
        <v>N/A</v>
      </c>
      <c r="J336" s="174" t="str">
        <f t="shared" ca="1" si="17"/>
        <v>No Error</v>
      </c>
      <c r="K336" s="174"/>
      <c r="L336" s="174"/>
      <c r="AA336" s="61">
        <f ca="1">COUNTBLANK(INDIRECT("C336"))</f>
        <v>1</v>
      </c>
      <c r="AB336" s="61">
        <f ca="1">COUNTBLANK(INDIRECT("d336"))</f>
        <v>1</v>
      </c>
      <c r="AC336" s="61">
        <f ca="1">COUNTBLANK(INDIRECT("e336"))</f>
        <v>1</v>
      </c>
      <c r="AD336" s="61">
        <f ca="1">COUNTBLANK(INDIRECT("f336"))</f>
        <v>1</v>
      </c>
      <c r="AE336" s="61">
        <f ca="1">COUNTBLANK(INDIRECT("g336"))</f>
        <v>1</v>
      </c>
      <c r="AF336" s="61">
        <f ca="1">COUNTBLANK(INDIRECT("h336"))</f>
        <v>1</v>
      </c>
      <c r="AG336" s="61">
        <f ca="1">COUNTBLANK(INDIRECT("b336"))</f>
        <v>1</v>
      </c>
    </row>
    <row r="337" spans="1:33" x14ac:dyDescent="0.25">
      <c r="A337" s="2">
        <v>5</v>
      </c>
      <c r="B337" s="63"/>
      <c r="C337" s="56"/>
      <c r="D337" s="56"/>
      <c r="E337" s="56"/>
      <c r="F337" s="56"/>
      <c r="G337" s="56"/>
      <c r="H337" s="56"/>
      <c r="I337" s="110" t="str">
        <f ca="1">IF(AND(INDIRECT("H337")&gt;=INDIRECT("F337"),AA337=0,AB337=0,AC337=0,AF337=0),"Yes",IF(AND(INDIRECT("H337")&lt;INDIRECT("F337"),AA337=0,AB337=0,AC337=0,AF337=0),"No","N/A"))</f>
        <v>N/A</v>
      </c>
      <c r="J337" s="174" t="str">
        <f t="shared" ca="1" si="17"/>
        <v>No Error</v>
      </c>
      <c r="K337" s="174"/>
      <c r="L337" s="174"/>
      <c r="AA337" s="61">
        <f ca="1">COUNTBLANK(INDIRECT("C337"))</f>
        <v>1</v>
      </c>
      <c r="AB337" s="61">
        <f ca="1">COUNTBLANK(INDIRECT("d337"))</f>
        <v>1</v>
      </c>
      <c r="AC337" s="61">
        <f ca="1">COUNTBLANK(INDIRECT("e337"))</f>
        <v>1</v>
      </c>
      <c r="AD337" s="61">
        <f ca="1">COUNTBLANK(INDIRECT("f337"))</f>
        <v>1</v>
      </c>
      <c r="AE337" s="61">
        <f ca="1">COUNTBLANK(INDIRECT("g337"))</f>
        <v>1</v>
      </c>
      <c r="AF337" s="61">
        <f ca="1">COUNTBLANK(INDIRECT("h337"))</f>
        <v>1</v>
      </c>
      <c r="AG337" s="61">
        <f ca="1">COUNTBLANK(INDIRECT("b337"))</f>
        <v>1</v>
      </c>
    </row>
    <row r="338" spans="1:33" x14ac:dyDescent="0.25">
      <c r="A338" s="2">
        <v>6</v>
      </c>
      <c r="B338" s="63"/>
      <c r="C338" s="56"/>
      <c r="D338" s="56"/>
      <c r="E338" s="56"/>
      <c r="F338" s="56"/>
      <c r="G338" s="56"/>
      <c r="H338" s="56"/>
      <c r="I338" s="110" t="str">
        <f ca="1">IF(AND(INDIRECT("H338")&gt;=INDIRECT("F338"),AA338=0,AB338=0,AC338=0,AF338=0),"Yes",IF(AND(INDIRECT("H338")&lt;INDIRECT("F338"),AA338=0,AB338=0,AC338=0,AF338=0),"No","N/A"))</f>
        <v>N/A</v>
      </c>
      <c r="J338" s="174" t="str">
        <f t="shared" ca="1" si="17"/>
        <v>No Error</v>
      </c>
      <c r="K338" s="174"/>
      <c r="L338" s="174"/>
      <c r="AA338" s="61">
        <f ca="1">COUNTBLANK(INDIRECT("C338"))</f>
        <v>1</v>
      </c>
      <c r="AB338" s="61">
        <f ca="1">COUNTBLANK(INDIRECT("d338"))</f>
        <v>1</v>
      </c>
      <c r="AC338" s="61">
        <f ca="1">COUNTBLANK(INDIRECT("e338"))</f>
        <v>1</v>
      </c>
      <c r="AD338" s="61">
        <f ca="1">COUNTBLANK(INDIRECT("f338"))</f>
        <v>1</v>
      </c>
      <c r="AE338" s="61">
        <f ca="1">COUNTBLANK(INDIRECT("g338"))</f>
        <v>1</v>
      </c>
      <c r="AF338" s="61">
        <f ca="1">COUNTBLANK(INDIRECT("h338"))</f>
        <v>1</v>
      </c>
      <c r="AG338" s="61">
        <f ca="1">COUNTBLANK(INDIRECT("b338"))</f>
        <v>1</v>
      </c>
    </row>
    <row r="339" spans="1:33" x14ac:dyDescent="0.25">
      <c r="A339" s="2">
        <v>7</v>
      </c>
      <c r="B339" s="63"/>
      <c r="C339" s="56"/>
      <c r="D339" s="56"/>
      <c r="E339" s="56"/>
      <c r="F339" s="56"/>
      <c r="G339" s="56"/>
      <c r="H339" s="56"/>
      <c r="I339" s="110" t="str">
        <f ca="1">IF(AND(INDIRECT("H339")&gt;=INDIRECT("F339"),AA339=0,AB339=0,AC339=0,AF339=0),"Yes",IF(AND(INDIRECT("H339")&lt;INDIRECT("F339"),AA339=0,AB339=0,AC339=0,AF339=0),"No","N/A"))</f>
        <v>N/A</v>
      </c>
      <c r="J339" s="174" t="str">
        <f t="shared" ca="1" si="17"/>
        <v>No Error</v>
      </c>
      <c r="K339" s="174"/>
      <c r="L339" s="174"/>
      <c r="AA339" s="61">
        <f ca="1">COUNTBLANK(INDIRECT("C339"))</f>
        <v>1</v>
      </c>
      <c r="AB339" s="61">
        <f ca="1">COUNTBLANK(INDIRECT("d339"))</f>
        <v>1</v>
      </c>
      <c r="AC339" s="61">
        <f ca="1">COUNTBLANK(INDIRECT("e339"))</f>
        <v>1</v>
      </c>
      <c r="AD339" s="61">
        <f ca="1">COUNTBLANK(INDIRECT("f339"))</f>
        <v>1</v>
      </c>
      <c r="AE339" s="61">
        <f ca="1">COUNTBLANK(INDIRECT("g339"))</f>
        <v>1</v>
      </c>
      <c r="AF339" s="61">
        <f ca="1">COUNTBLANK(INDIRECT("h339"))</f>
        <v>1</v>
      </c>
      <c r="AG339" s="61">
        <f ca="1">COUNTBLANK(INDIRECT("b339"))</f>
        <v>1</v>
      </c>
    </row>
    <row r="340" spans="1:33" x14ac:dyDescent="0.25">
      <c r="A340" s="2">
        <v>8</v>
      </c>
      <c r="B340" s="63"/>
      <c r="C340" s="56"/>
      <c r="D340" s="56"/>
      <c r="E340" s="56"/>
      <c r="F340" s="56"/>
      <c r="G340" s="56"/>
      <c r="H340" s="56"/>
      <c r="I340" s="110" t="str">
        <f ca="1">IF(AND(INDIRECT("H340")&gt;=INDIRECT("F340"),AA340=0,AB340=0,AC340=0,AF340=0),"Yes",IF(AND(INDIRECT("H340")&lt;INDIRECT("F340"),AA340=0,AB340=0,AC340=0,AF340=0),"No","N/A"))</f>
        <v>N/A</v>
      </c>
      <c r="J340" s="174" t="str">
        <f t="shared" ca="1" si="17"/>
        <v>No Error</v>
      </c>
      <c r="K340" s="174"/>
      <c r="L340" s="174"/>
      <c r="AA340" s="61">
        <f ca="1">COUNTBLANK(INDIRECT("C340"))</f>
        <v>1</v>
      </c>
      <c r="AB340" s="61">
        <f ca="1">COUNTBLANK(INDIRECT("d340"))</f>
        <v>1</v>
      </c>
      <c r="AC340" s="61">
        <f ca="1">COUNTBLANK(INDIRECT("e340"))</f>
        <v>1</v>
      </c>
      <c r="AD340" s="61">
        <f ca="1">COUNTBLANK(INDIRECT("f340"))</f>
        <v>1</v>
      </c>
      <c r="AE340" s="61">
        <f ca="1">COUNTBLANK(INDIRECT("g340"))</f>
        <v>1</v>
      </c>
      <c r="AF340" s="61">
        <f ca="1">COUNTBLANK(INDIRECT("h340"))</f>
        <v>1</v>
      </c>
      <c r="AG340" s="61">
        <f ca="1">COUNTBLANK(INDIRECT("b340"))</f>
        <v>1</v>
      </c>
    </row>
    <row r="341" spans="1:33" x14ac:dyDescent="0.25">
      <c r="A341" s="2">
        <v>9</v>
      </c>
      <c r="B341" s="63"/>
      <c r="C341" s="56"/>
      <c r="D341" s="56"/>
      <c r="E341" s="56"/>
      <c r="F341" s="56"/>
      <c r="G341" s="56"/>
      <c r="H341" s="56"/>
      <c r="I341" s="110" t="str">
        <f ca="1">IF(AND(INDIRECT("H341")&gt;=INDIRECT("F341"),AA341=0,AB341=0,AC341=0,AF341=0),"Yes",IF(AND(INDIRECT("H341")&lt;INDIRECT("F341"),AA341=0,AB341=0,AC341=0,AF341=0),"No","N/A"))</f>
        <v>N/A</v>
      </c>
      <c r="J341" s="174" t="str">
        <f t="shared" ca="1" si="17"/>
        <v>No Error</v>
      </c>
      <c r="K341" s="174"/>
      <c r="L341" s="174"/>
      <c r="AA341" s="61">
        <f ca="1">COUNTBLANK(INDIRECT("C341"))</f>
        <v>1</v>
      </c>
      <c r="AB341" s="61">
        <f ca="1">COUNTBLANK(INDIRECT("d341"))</f>
        <v>1</v>
      </c>
      <c r="AC341" s="61">
        <f ca="1">COUNTBLANK(INDIRECT("e341"))</f>
        <v>1</v>
      </c>
      <c r="AD341" s="61">
        <f ca="1">COUNTBLANK(INDIRECT("f341"))</f>
        <v>1</v>
      </c>
      <c r="AE341" s="61">
        <f ca="1">COUNTBLANK(INDIRECT("g341"))</f>
        <v>1</v>
      </c>
      <c r="AF341" s="61">
        <f ca="1">COUNTBLANK(INDIRECT("h341"))</f>
        <v>1</v>
      </c>
      <c r="AG341" s="61">
        <f ca="1">COUNTBLANK(INDIRECT("b341"))</f>
        <v>1</v>
      </c>
    </row>
    <row r="342" spans="1:33" x14ac:dyDescent="0.25">
      <c r="A342" s="2">
        <v>10</v>
      </c>
      <c r="B342" s="63"/>
      <c r="C342" s="56"/>
      <c r="D342" s="56"/>
      <c r="E342" s="56"/>
      <c r="F342" s="56"/>
      <c r="G342" s="56"/>
      <c r="H342" s="56"/>
      <c r="I342" s="110" t="str">
        <f ca="1">IF(AND(INDIRECT("H342")&gt;=INDIRECT("F342"),AA342=0,AB342=0,AC342=0,AF342=0),"Yes",IF(AND(INDIRECT("H342")&lt;INDIRECT("F342"),AA342=0,AB342=0,AC342=0,AF342=0),"No","N/A"))</f>
        <v>N/A</v>
      </c>
      <c r="J342" s="174" t="str">
        <f t="shared" ca="1" si="17"/>
        <v>No Error</v>
      </c>
      <c r="K342" s="174"/>
      <c r="L342" s="174"/>
      <c r="AA342" s="61">
        <f ca="1">COUNTBLANK(INDIRECT("C342"))</f>
        <v>1</v>
      </c>
      <c r="AB342" s="61">
        <f ca="1">COUNTBLANK(INDIRECT("d342"))</f>
        <v>1</v>
      </c>
      <c r="AC342" s="61">
        <f ca="1">COUNTBLANK(INDIRECT("e342"))</f>
        <v>1</v>
      </c>
      <c r="AD342" s="61">
        <f ca="1">COUNTBLANK(INDIRECT("f342"))</f>
        <v>1</v>
      </c>
      <c r="AE342" s="61">
        <f ca="1">COUNTBLANK(INDIRECT("g342"))</f>
        <v>1</v>
      </c>
      <c r="AF342" s="61">
        <f ca="1">COUNTBLANK(INDIRECT("h342"))</f>
        <v>1</v>
      </c>
      <c r="AG342" s="61">
        <f ca="1">COUNTBLANK(INDIRECT("b342"))</f>
        <v>1</v>
      </c>
    </row>
    <row r="343" spans="1:33" x14ac:dyDescent="0.25">
      <c r="A343" s="2">
        <v>11</v>
      </c>
      <c r="B343" s="63"/>
      <c r="C343" s="56"/>
      <c r="D343" s="56"/>
      <c r="E343" s="56"/>
      <c r="F343" s="56"/>
      <c r="G343" s="56"/>
      <c r="H343" s="56"/>
      <c r="I343" s="110" t="str">
        <f ca="1">IF(AND(INDIRECT("H343")&gt;=INDIRECT("F343"),AA343=0,AB343=0,AC343=0,AF343=0),"Yes",IF(AND(INDIRECT("H343")&lt;INDIRECT("F343"),AA343=0,AB343=0,AC343=0,AF343=0),"No","N/A"))</f>
        <v>N/A</v>
      </c>
      <c r="J343" s="174" t="str">
        <f t="shared" ca="1" si="17"/>
        <v>No Error</v>
      </c>
      <c r="K343" s="174"/>
      <c r="L343" s="174"/>
      <c r="AA343" s="61">
        <f ca="1">COUNTBLANK(INDIRECT("C343"))</f>
        <v>1</v>
      </c>
      <c r="AB343" s="61">
        <f ca="1">COUNTBLANK(INDIRECT("d343"))</f>
        <v>1</v>
      </c>
      <c r="AC343" s="61">
        <f ca="1">COUNTBLANK(INDIRECT("e343"))</f>
        <v>1</v>
      </c>
      <c r="AD343" s="61">
        <f ca="1">COUNTBLANK(INDIRECT("f343"))</f>
        <v>1</v>
      </c>
      <c r="AE343" s="61">
        <f ca="1">COUNTBLANK(INDIRECT("g343"))</f>
        <v>1</v>
      </c>
      <c r="AF343" s="61">
        <f ca="1">COUNTBLANK(INDIRECT("h343"))</f>
        <v>1</v>
      </c>
      <c r="AG343" s="61">
        <f ca="1">COUNTBLANK(INDIRECT("b343"))</f>
        <v>1</v>
      </c>
    </row>
    <row r="344" spans="1:33" x14ac:dyDescent="0.25">
      <c r="A344" s="2">
        <v>12</v>
      </c>
      <c r="B344" s="63"/>
      <c r="C344" s="56"/>
      <c r="D344" s="56"/>
      <c r="E344" s="56"/>
      <c r="F344" s="56"/>
      <c r="G344" s="56"/>
      <c r="H344" s="56"/>
      <c r="I344" s="110" t="str">
        <f ca="1">IF(AND(INDIRECT("H344")&gt;=INDIRECT("F344"),AA344=0,AB344=0,AC344=0,AF344=0),"Yes",IF(AND(INDIRECT("H344")&lt;INDIRECT("F344"),AA344=0,AB344=0,AC344=0,AF344=0),"No","N/A"))</f>
        <v>N/A</v>
      </c>
      <c r="J344" s="174" t="str">
        <f t="shared" ca="1" si="17"/>
        <v>No Error</v>
      </c>
      <c r="K344" s="174"/>
      <c r="L344" s="174"/>
      <c r="AA344" s="61">
        <f ca="1">COUNTBLANK(INDIRECT("C344"))</f>
        <v>1</v>
      </c>
      <c r="AB344" s="61">
        <f ca="1">COUNTBLANK(INDIRECT("d344"))</f>
        <v>1</v>
      </c>
      <c r="AC344" s="61">
        <f ca="1">COUNTBLANK(INDIRECT("e344"))</f>
        <v>1</v>
      </c>
      <c r="AD344" s="61">
        <f ca="1">COUNTBLANK(INDIRECT("f344"))</f>
        <v>1</v>
      </c>
      <c r="AE344" s="61">
        <f ca="1">COUNTBLANK(INDIRECT("g344"))</f>
        <v>1</v>
      </c>
      <c r="AF344" s="61">
        <f ca="1">COUNTBLANK(INDIRECT("h344"))</f>
        <v>1</v>
      </c>
      <c r="AG344" s="61">
        <f ca="1">COUNTBLANK(INDIRECT("b344"))</f>
        <v>1</v>
      </c>
    </row>
    <row r="345" spans="1:33" x14ac:dyDescent="0.25">
      <c r="A345" s="2">
        <v>13</v>
      </c>
      <c r="B345" s="63"/>
      <c r="C345" s="56"/>
      <c r="D345" s="56"/>
      <c r="E345" s="56"/>
      <c r="F345" s="56"/>
      <c r="G345" s="56"/>
      <c r="H345" s="56"/>
      <c r="I345" s="110" t="str">
        <f ca="1">IF(AND(INDIRECT("H345")&gt;=INDIRECT("F345"),AA345=0,AB345=0,AC345=0,AF345=0),"Yes",IF(AND(INDIRECT("H345")&lt;INDIRECT("F345"),AA345=0,AB345=0,AC345=0,AF345=0),"No","N/A"))</f>
        <v>N/A</v>
      </c>
      <c r="J345" s="174" t="str">
        <f t="shared" ca="1" si="17"/>
        <v>No Error</v>
      </c>
      <c r="K345" s="174"/>
      <c r="L345" s="174"/>
      <c r="AA345" s="61">
        <f ca="1">COUNTBLANK(INDIRECT("C345"))</f>
        <v>1</v>
      </c>
      <c r="AB345" s="61">
        <f ca="1">COUNTBLANK(INDIRECT("d345"))</f>
        <v>1</v>
      </c>
      <c r="AC345" s="61">
        <f ca="1">COUNTBLANK(INDIRECT("e345"))</f>
        <v>1</v>
      </c>
      <c r="AD345" s="61">
        <f ca="1">COUNTBLANK(INDIRECT("f345"))</f>
        <v>1</v>
      </c>
      <c r="AE345" s="61">
        <f ca="1">COUNTBLANK(INDIRECT("g345"))</f>
        <v>1</v>
      </c>
      <c r="AF345" s="61">
        <f ca="1">COUNTBLANK(INDIRECT("h345"))</f>
        <v>1</v>
      </c>
      <c r="AG345" s="61">
        <f ca="1">COUNTBLANK(INDIRECT("b345"))</f>
        <v>1</v>
      </c>
    </row>
    <row r="346" spans="1:33" x14ac:dyDescent="0.25">
      <c r="A346" s="2">
        <v>14</v>
      </c>
      <c r="B346" s="63"/>
      <c r="C346" s="56"/>
      <c r="D346" s="56"/>
      <c r="E346" s="56"/>
      <c r="F346" s="56"/>
      <c r="G346" s="56"/>
      <c r="H346" s="56"/>
      <c r="I346" s="110" t="str">
        <f ca="1">IF(AND(INDIRECT("H346")&gt;=INDIRECT("F346"),AA346=0,AB346=0,AC346=0,AF346=0),"Yes",IF(AND(INDIRECT("H346")&lt;INDIRECT("F346"),AA346=0,AB346=0,AC346=0,AF346=0),"No","N/A"))</f>
        <v>N/A</v>
      </c>
      <c r="J346" s="174" t="str">
        <f t="shared" ca="1" si="17"/>
        <v>No Error</v>
      </c>
      <c r="K346" s="174"/>
      <c r="L346" s="174"/>
      <c r="AA346" s="61">
        <f ca="1">COUNTBLANK(INDIRECT("C346"))</f>
        <v>1</v>
      </c>
      <c r="AB346" s="61">
        <f ca="1">COUNTBLANK(INDIRECT("d346"))</f>
        <v>1</v>
      </c>
      <c r="AC346" s="61">
        <f ca="1">COUNTBLANK(INDIRECT("e346"))</f>
        <v>1</v>
      </c>
      <c r="AD346" s="61">
        <f ca="1">COUNTBLANK(INDIRECT("f346"))</f>
        <v>1</v>
      </c>
      <c r="AE346" s="61">
        <f ca="1">COUNTBLANK(INDIRECT("g346"))</f>
        <v>1</v>
      </c>
      <c r="AF346" s="61">
        <f ca="1">COUNTBLANK(INDIRECT("h346"))</f>
        <v>1</v>
      </c>
      <c r="AG346" s="61">
        <f ca="1">COUNTBLANK(INDIRECT("b346"))</f>
        <v>1</v>
      </c>
    </row>
    <row r="347" spans="1:33" x14ac:dyDescent="0.25">
      <c r="A347" s="2">
        <v>15</v>
      </c>
      <c r="B347" s="63"/>
      <c r="C347" s="56"/>
      <c r="D347" s="56"/>
      <c r="E347" s="56"/>
      <c r="F347" s="56"/>
      <c r="G347" s="56"/>
      <c r="H347" s="56"/>
      <c r="I347" s="110" t="str">
        <f ca="1">IF(AND(INDIRECT("H347")&gt;=INDIRECT("F347"),AA347=0,AB347=0,AC347=0,AF347=0),"Yes",IF(AND(INDIRECT("H347")&lt;INDIRECT("F347"),AA347=0,AB347=0,AC347=0,AF347=0),"No","N/A"))</f>
        <v>N/A</v>
      </c>
      <c r="J347" s="174" t="str">
        <f t="shared" ca="1" si="17"/>
        <v>No Error</v>
      </c>
      <c r="K347" s="174"/>
      <c r="L347" s="174"/>
      <c r="AA347" s="61">
        <f ca="1">COUNTBLANK(INDIRECT("C347"))</f>
        <v>1</v>
      </c>
      <c r="AB347" s="61">
        <f ca="1">COUNTBLANK(INDIRECT("d347"))</f>
        <v>1</v>
      </c>
      <c r="AC347" s="61">
        <f ca="1">COUNTBLANK(INDIRECT("e347"))</f>
        <v>1</v>
      </c>
      <c r="AD347" s="61">
        <f ca="1">COUNTBLANK(INDIRECT("f347"))</f>
        <v>1</v>
      </c>
      <c r="AE347" s="61">
        <f ca="1">COUNTBLANK(INDIRECT("g347"))</f>
        <v>1</v>
      </c>
      <c r="AF347" s="61">
        <f ca="1">COUNTBLANK(INDIRECT("h347"))</f>
        <v>1</v>
      </c>
      <c r="AG347" s="61">
        <f ca="1">COUNTBLANK(INDIRECT("b347"))</f>
        <v>1</v>
      </c>
    </row>
    <row r="348" spans="1:33" x14ac:dyDescent="0.25">
      <c r="A348" s="2">
        <v>16</v>
      </c>
      <c r="B348" s="63"/>
      <c r="C348" s="56"/>
      <c r="D348" s="56"/>
      <c r="E348" s="56"/>
      <c r="F348" s="56"/>
      <c r="G348" s="56"/>
      <c r="H348" s="56"/>
      <c r="I348" s="110" t="str">
        <f ca="1">IF(AND(INDIRECT("H348")&gt;=INDIRECT("F348"),AA348=0,AB348=0,AC348=0,AF348=0),"Yes",IF(AND(INDIRECT("H348")&lt;INDIRECT("F348"),AA348=0,AB348=0,AC348=0,AF348=0),"No","N/A"))</f>
        <v>N/A</v>
      </c>
      <c r="J348" s="174" t="str">
        <f t="shared" ca="1" si="17"/>
        <v>No Error</v>
      </c>
      <c r="K348" s="174"/>
      <c r="L348" s="174"/>
      <c r="AA348" s="61">
        <f ca="1">COUNTBLANK(INDIRECT("C348"))</f>
        <v>1</v>
      </c>
      <c r="AB348" s="61">
        <f ca="1">COUNTBLANK(INDIRECT("d348"))</f>
        <v>1</v>
      </c>
      <c r="AC348" s="61">
        <f ca="1">COUNTBLANK(INDIRECT("e348"))</f>
        <v>1</v>
      </c>
      <c r="AD348" s="61">
        <f ca="1">COUNTBLANK(INDIRECT("f348"))</f>
        <v>1</v>
      </c>
      <c r="AE348" s="61">
        <f ca="1">COUNTBLANK(INDIRECT("g348"))</f>
        <v>1</v>
      </c>
      <c r="AF348" s="61">
        <f ca="1">COUNTBLANK(INDIRECT("h348"))</f>
        <v>1</v>
      </c>
      <c r="AG348" s="61">
        <f ca="1">COUNTBLANK(INDIRECT("b348"))</f>
        <v>1</v>
      </c>
    </row>
    <row r="349" spans="1:33" x14ac:dyDescent="0.25">
      <c r="A349" s="2">
        <v>17</v>
      </c>
      <c r="B349" s="63"/>
      <c r="C349" s="56"/>
      <c r="D349" s="56"/>
      <c r="E349" s="56"/>
      <c r="F349" s="56"/>
      <c r="G349" s="56"/>
      <c r="H349" s="56"/>
      <c r="I349" s="110" t="str">
        <f ca="1">IF(AND(INDIRECT("H349")&gt;=INDIRECT("F349"),AA349=0,AB349=0,AC349=0,AF349=0),"Yes",IF(AND(INDIRECT("H349")&lt;INDIRECT("F349"),AA349=0,AB349=0,AC349=0,AF349=0),"No","N/A"))</f>
        <v>N/A</v>
      </c>
      <c r="J349" s="174" t="str">
        <f t="shared" ca="1" si="17"/>
        <v>No Error</v>
      </c>
      <c r="K349" s="174"/>
      <c r="L349" s="174"/>
      <c r="AA349" s="61">
        <f ca="1">COUNTBLANK(INDIRECT("C349"))</f>
        <v>1</v>
      </c>
      <c r="AB349" s="61">
        <f ca="1">COUNTBLANK(INDIRECT("d349"))</f>
        <v>1</v>
      </c>
      <c r="AC349" s="61">
        <f ca="1">COUNTBLANK(INDIRECT("e349"))</f>
        <v>1</v>
      </c>
      <c r="AD349" s="61">
        <f ca="1">COUNTBLANK(INDIRECT("f349"))</f>
        <v>1</v>
      </c>
      <c r="AE349" s="61">
        <f ca="1">COUNTBLANK(INDIRECT("g349"))</f>
        <v>1</v>
      </c>
      <c r="AF349" s="61">
        <f ca="1">COUNTBLANK(INDIRECT("h349"))</f>
        <v>1</v>
      </c>
      <c r="AG349" s="61">
        <f ca="1">COUNTBLANK(INDIRECT("b349"))</f>
        <v>1</v>
      </c>
    </row>
    <row r="350" spans="1:33" x14ac:dyDescent="0.25">
      <c r="A350" s="2">
        <v>18</v>
      </c>
      <c r="B350" s="63"/>
      <c r="C350" s="56"/>
      <c r="D350" s="56"/>
      <c r="E350" s="56"/>
      <c r="F350" s="56"/>
      <c r="G350" s="56"/>
      <c r="H350" s="56"/>
      <c r="I350" s="110" t="str">
        <f ca="1">IF(AND(INDIRECT("H350")&gt;=INDIRECT("F350"),AA350=0,AB350=0,AC350=0,AF350=0),"Yes",IF(AND(INDIRECT("H350")&lt;INDIRECT("F350"),AA350=0,AB350=0,AC350=0,AF350=0),"No","N/A"))</f>
        <v>N/A</v>
      </c>
      <c r="J350" s="174" t="str">
        <f t="shared" ca="1" si="17"/>
        <v>No Error</v>
      </c>
      <c r="K350" s="174"/>
      <c r="L350" s="174"/>
      <c r="AA350" s="61">
        <f ca="1">COUNTBLANK(INDIRECT("C350"))</f>
        <v>1</v>
      </c>
      <c r="AB350" s="61">
        <f ca="1">COUNTBLANK(INDIRECT("d350"))</f>
        <v>1</v>
      </c>
      <c r="AC350" s="61">
        <f ca="1">COUNTBLANK(INDIRECT("e350"))</f>
        <v>1</v>
      </c>
      <c r="AD350" s="61">
        <f ca="1">COUNTBLANK(INDIRECT("f350"))</f>
        <v>1</v>
      </c>
      <c r="AE350" s="61">
        <f ca="1">COUNTBLANK(INDIRECT("g350"))</f>
        <v>1</v>
      </c>
      <c r="AF350" s="61">
        <f ca="1">COUNTBLANK(INDIRECT("h350"))</f>
        <v>1</v>
      </c>
      <c r="AG350" s="61">
        <f ca="1">COUNTBLANK(INDIRECT("b350"))</f>
        <v>1</v>
      </c>
    </row>
    <row r="351" spans="1:33" x14ac:dyDescent="0.25">
      <c r="A351" s="2">
        <v>19</v>
      </c>
      <c r="B351" s="63"/>
      <c r="C351" s="56"/>
      <c r="D351" s="56"/>
      <c r="E351" s="56"/>
      <c r="F351" s="56"/>
      <c r="G351" s="56"/>
      <c r="H351" s="56"/>
      <c r="I351" s="110" t="str">
        <f ca="1">IF(AND(INDIRECT("H351")&gt;=INDIRECT("F351"),AA351=0,AB351=0,AC351=0,AF351=0),"Yes",IF(AND(INDIRECT("H351")&lt;INDIRECT("F351"),AA351=0,AB351=0,AC351=0,AF351=0),"No","N/A"))</f>
        <v>N/A</v>
      </c>
      <c r="J351" s="174" t="str">
        <f t="shared" ca="1" si="17"/>
        <v>No Error</v>
      </c>
      <c r="K351" s="174"/>
      <c r="L351" s="174"/>
      <c r="AA351" s="61">
        <f ca="1">COUNTBLANK(INDIRECT("C351"))</f>
        <v>1</v>
      </c>
      <c r="AB351" s="61">
        <f ca="1">COUNTBLANK(INDIRECT("d351"))</f>
        <v>1</v>
      </c>
      <c r="AC351" s="61">
        <f ca="1">COUNTBLANK(INDIRECT("e351"))</f>
        <v>1</v>
      </c>
      <c r="AD351" s="61">
        <f ca="1">COUNTBLANK(INDIRECT("f351"))</f>
        <v>1</v>
      </c>
      <c r="AE351" s="61">
        <f ca="1">COUNTBLANK(INDIRECT("g351"))</f>
        <v>1</v>
      </c>
      <c r="AF351" s="61">
        <f ca="1">COUNTBLANK(INDIRECT("h351"))</f>
        <v>1</v>
      </c>
      <c r="AG351" s="61">
        <f ca="1">COUNTBLANK(INDIRECT("b351"))</f>
        <v>1</v>
      </c>
    </row>
    <row r="352" spans="1:33" x14ac:dyDescent="0.25">
      <c r="A352" s="2">
        <v>20</v>
      </c>
      <c r="B352" s="63"/>
      <c r="C352" s="56"/>
      <c r="D352" s="56"/>
      <c r="E352" s="56"/>
      <c r="F352" s="56"/>
      <c r="G352" s="56"/>
      <c r="H352" s="56"/>
      <c r="I352" s="110" t="str">
        <f ca="1">IF(AND(INDIRECT("H352")&gt;=INDIRECT("F352"),AA352=0,AB352=0,AC352=0,AF352=0),"Yes",IF(AND(INDIRECT("H352")&lt;INDIRECT("F352"),AA352=0,AB352=0,AC352=0,AF352=0),"No","N/A"))</f>
        <v>N/A</v>
      </c>
      <c r="J352" s="174" t="str">
        <f t="shared" ca="1" si="17"/>
        <v>No Error</v>
      </c>
      <c r="K352" s="174"/>
      <c r="L352" s="174"/>
      <c r="AA352" s="61">
        <f ca="1">COUNTBLANK(INDIRECT("C352"))</f>
        <v>1</v>
      </c>
      <c r="AB352" s="61">
        <f ca="1">COUNTBLANK(INDIRECT("d352"))</f>
        <v>1</v>
      </c>
      <c r="AC352" s="61">
        <f ca="1">COUNTBLANK(INDIRECT("e352"))</f>
        <v>1</v>
      </c>
      <c r="AD352" s="61">
        <f ca="1">COUNTBLANK(INDIRECT("f352"))</f>
        <v>1</v>
      </c>
      <c r="AE352" s="61">
        <f ca="1">COUNTBLANK(INDIRECT("g352"))</f>
        <v>1</v>
      </c>
      <c r="AF352" s="61">
        <f ca="1">COUNTBLANK(INDIRECT("h352"))</f>
        <v>1</v>
      </c>
      <c r="AG352" s="61">
        <f ca="1">COUNTBLANK(INDIRECT("b352"))</f>
        <v>1</v>
      </c>
    </row>
    <row r="353" spans="1:33" x14ac:dyDescent="0.25">
      <c r="A353" s="2">
        <v>21</v>
      </c>
      <c r="B353" s="63"/>
      <c r="C353" s="56"/>
      <c r="D353" s="56"/>
      <c r="E353" s="56"/>
      <c r="F353" s="56"/>
      <c r="G353" s="56"/>
      <c r="H353" s="56"/>
      <c r="I353" s="110" t="str">
        <f ca="1">IF(AND(INDIRECT("H353")&gt;=INDIRECT("F353"),AA353=0,AB353=0,AC353=0,AF353=0),"Yes",IF(AND(INDIRECT("H353")&lt;INDIRECT("F353"),AA353=0,AB353=0,AC353=0,AF353=0),"No","N/A"))</f>
        <v>N/A</v>
      </c>
      <c r="J353" s="174" t="str">
        <f t="shared" ca="1" si="17"/>
        <v>No Error</v>
      </c>
      <c r="K353" s="174"/>
      <c r="L353" s="174"/>
      <c r="AA353" s="61">
        <f ca="1">COUNTBLANK(INDIRECT("C353"))</f>
        <v>1</v>
      </c>
      <c r="AB353" s="61">
        <f ca="1">COUNTBLANK(INDIRECT("d353"))</f>
        <v>1</v>
      </c>
      <c r="AC353" s="61">
        <f ca="1">COUNTBLANK(INDIRECT("e353"))</f>
        <v>1</v>
      </c>
      <c r="AD353" s="61">
        <f ca="1">COUNTBLANK(INDIRECT("f353"))</f>
        <v>1</v>
      </c>
      <c r="AE353" s="61">
        <f ca="1">COUNTBLANK(INDIRECT("g353"))</f>
        <v>1</v>
      </c>
      <c r="AF353" s="61">
        <f ca="1">COUNTBLANK(INDIRECT("h353"))</f>
        <v>1</v>
      </c>
      <c r="AG353" s="61">
        <f ca="1">COUNTBLANK(INDIRECT("b353"))</f>
        <v>1</v>
      </c>
    </row>
    <row r="354" spans="1:33" x14ac:dyDescent="0.25">
      <c r="A354" s="2">
        <v>22</v>
      </c>
      <c r="B354" s="63"/>
      <c r="C354" s="56"/>
      <c r="D354" s="56"/>
      <c r="E354" s="56"/>
      <c r="F354" s="56"/>
      <c r="G354" s="56"/>
      <c r="H354" s="56"/>
      <c r="I354" s="110" t="str">
        <f ca="1">IF(AND(INDIRECT("H354")&gt;=INDIRECT("F354"),AA354=0,AB354=0,AC354=0,AF354=0),"Yes",IF(AND(INDIRECT("H354")&lt;INDIRECT("F354"),AA354=0,AB354=0,AC354=0,AF354=0),"No","N/A"))</f>
        <v>N/A</v>
      </c>
      <c r="J354" s="174" t="str">
        <f t="shared" ca="1" si="17"/>
        <v>No Error</v>
      </c>
      <c r="K354" s="174"/>
      <c r="L354" s="174"/>
      <c r="AA354" s="61">
        <f ca="1">COUNTBLANK(INDIRECT("C354"))</f>
        <v>1</v>
      </c>
      <c r="AB354" s="61">
        <f ca="1">COUNTBLANK(INDIRECT("d354"))</f>
        <v>1</v>
      </c>
      <c r="AC354" s="61">
        <f ca="1">COUNTBLANK(INDIRECT("e354"))</f>
        <v>1</v>
      </c>
      <c r="AD354" s="61">
        <f ca="1">COUNTBLANK(INDIRECT("f354"))</f>
        <v>1</v>
      </c>
      <c r="AE354" s="61">
        <f ca="1">COUNTBLANK(INDIRECT("g354"))</f>
        <v>1</v>
      </c>
      <c r="AF354" s="61">
        <f ca="1">COUNTBLANK(INDIRECT("h354"))</f>
        <v>1</v>
      </c>
      <c r="AG354" s="61">
        <f ca="1">COUNTBLANK(INDIRECT("b354"))</f>
        <v>1</v>
      </c>
    </row>
    <row r="355" spans="1:33" x14ac:dyDescent="0.25">
      <c r="A355" s="2">
        <v>23</v>
      </c>
      <c r="B355" s="63"/>
      <c r="C355" s="56"/>
      <c r="D355" s="56"/>
      <c r="E355" s="56"/>
      <c r="F355" s="56"/>
      <c r="G355" s="56"/>
      <c r="H355" s="56"/>
      <c r="I355" s="110" t="str">
        <f ca="1">IF(AND(INDIRECT("H355")&gt;=INDIRECT("F355"),AA355=0,AB355=0,AC355=0,AF355=0),"Yes",IF(AND(INDIRECT("H355")&lt;INDIRECT("F355"),AA355=0,AB355=0,AC355=0,AF355=0),"No","N/A"))</f>
        <v>N/A</v>
      </c>
      <c r="J355" s="174" t="str">
        <f t="shared" ca="1" si="17"/>
        <v>No Error</v>
      </c>
      <c r="K355" s="174"/>
      <c r="L355" s="174"/>
      <c r="AA355" s="61">
        <f ca="1">COUNTBLANK(INDIRECT("C355"))</f>
        <v>1</v>
      </c>
      <c r="AB355" s="61">
        <f ca="1">COUNTBLANK(INDIRECT("d355"))</f>
        <v>1</v>
      </c>
      <c r="AC355" s="61">
        <f ca="1">COUNTBLANK(INDIRECT("e355"))</f>
        <v>1</v>
      </c>
      <c r="AD355" s="61">
        <f ca="1">COUNTBLANK(INDIRECT("f355"))</f>
        <v>1</v>
      </c>
      <c r="AE355" s="61">
        <f ca="1">COUNTBLANK(INDIRECT("g355"))</f>
        <v>1</v>
      </c>
      <c r="AF355" s="61">
        <f ca="1">COUNTBLANK(INDIRECT("h355"))</f>
        <v>1</v>
      </c>
      <c r="AG355" s="61">
        <f ca="1">COUNTBLANK(INDIRECT("b355"))</f>
        <v>1</v>
      </c>
    </row>
    <row r="356" spans="1:33" x14ac:dyDescent="0.25">
      <c r="A356" s="2">
        <v>24</v>
      </c>
      <c r="B356" s="63"/>
      <c r="C356" s="56"/>
      <c r="D356" s="56"/>
      <c r="E356" s="56"/>
      <c r="F356" s="56"/>
      <c r="G356" s="56"/>
      <c r="H356" s="56"/>
      <c r="I356" s="110" t="str">
        <f ca="1">IF(AND(INDIRECT("H356")&gt;=INDIRECT("F356"),AA356=0,AB356=0,AC356=0,AF356=0),"Yes",IF(AND(INDIRECT("H356")&lt;INDIRECT("F356"),AA356=0,AB356=0,AC356=0,AF356=0),"No","N/A"))</f>
        <v>N/A</v>
      </c>
      <c r="J356" s="174" t="str">
        <f t="shared" ca="1" si="17"/>
        <v>No Error</v>
      </c>
      <c r="K356" s="174"/>
      <c r="L356" s="174"/>
      <c r="AA356" s="61">
        <f ca="1">COUNTBLANK(INDIRECT("C356"))</f>
        <v>1</v>
      </c>
      <c r="AB356" s="61">
        <f ca="1">COUNTBLANK(INDIRECT("d356"))</f>
        <v>1</v>
      </c>
      <c r="AC356" s="61">
        <f ca="1">COUNTBLANK(INDIRECT("e356"))</f>
        <v>1</v>
      </c>
      <c r="AD356" s="61">
        <f ca="1">COUNTBLANK(INDIRECT("f356"))</f>
        <v>1</v>
      </c>
      <c r="AE356" s="61">
        <f ca="1">COUNTBLANK(INDIRECT("g356"))</f>
        <v>1</v>
      </c>
      <c r="AF356" s="61">
        <f ca="1">COUNTBLANK(INDIRECT("h356"))</f>
        <v>1</v>
      </c>
      <c r="AG356" s="61">
        <f ca="1">COUNTBLANK(INDIRECT("b356"))</f>
        <v>1</v>
      </c>
    </row>
    <row r="357" spans="1:33" x14ac:dyDescent="0.25">
      <c r="A357" s="2">
        <v>25</v>
      </c>
      <c r="B357" s="63"/>
      <c r="C357" s="56"/>
      <c r="D357" s="56"/>
      <c r="E357" s="56"/>
      <c r="F357" s="56"/>
      <c r="G357" s="56"/>
      <c r="H357" s="56"/>
      <c r="I357" s="110" t="str">
        <f ca="1">IF(AND(INDIRECT("H357")&gt;=INDIRECT("F357"),AA357=0,AB357=0,AC357=0,AF357=0),"Yes",IF(AND(INDIRECT("H357")&lt;INDIRECT("F357"),AA357=0,AB357=0,AC357=0,AF357=0),"No","N/A"))</f>
        <v>N/A</v>
      </c>
      <c r="J357" s="174" t="str">
        <f t="shared" ca="1" si="17"/>
        <v>No Error</v>
      </c>
      <c r="K357" s="174"/>
      <c r="L357" s="174"/>
      <c r="AA357" s="61">
        <f ca="1">COUNTBLANK(INDIRECT("C357"))</f>
        <v>1</v>
      </c>
      <c r="AB357" s="61">
        <f ca="1">COUNTBLANK(INDIRECT("d357"))</f>
        <v>1</v>
      </c>
      <c r="AC357" s="61">
        <f ca="1">COUNTBLANK(INDIRECT("e357"))</f>
        <v>1</v>
      </c>
      <c r="AD357" s="61">
        <f ca="1">COUNTBLANK(INDIRECT("f357"))</f>
        <v>1</v>
      </c>
      <c r="AE357" s="61">
        <f ca="1">COUNTBLANK(INDIRECT("g357"))</f>
        <v>1</v>
      </c>
      <c r="AF357" s="61">
        <f ca="1">COUNTBLANK(INDIRECT("h357"))</f>
        <v>1</v>
      </c>
      <c r="AG357" s="61">
        <f ca="1">COUNTBLANK(INDIRECT("b357"))</f>
        <v>1</v>
      </c>
    </row>
    <row r="358" spans="1:33" x14ac:dyDescent="0.25">
      <c r="A358" s="2">
        <v>26</v>
      </c>
      <c r="B358" s="63"/>
      <c r="C358" s="56"/>
      <c r="D358" s="56"/>
      <c r="E358" s="56"/>
      <c r="F358" s="56"/>
      <c r="G358" s="56"/>
      <c r="H358" s="56"/>
      <c r="I358" s="110" t="str">
        <f ca="1">IF(AND(INDIRECT("H358")&gt;=INDIRECT("F358"),AA358=0,AB358=0,AC358=0,AF358=0),"Yes",IF(AND(INDIRECT("H358")&lt;INDIRECT("F358"),AA358=0,AB358=0,AC358=0,AF358=0),"No","N/A"))</f>
        <v>N/A</v>
      </c>
      <c r="J358" s="174" t="str">
        <f t="shared" ref="J358:J421" ca="1" si="18">IF(AND(AF358=0,AG358=0,AA358=0,AB358=0,AC358=0,AD358=0),"No Error",IF(AND(AF358=1,AG358=1,AA358=1,AB358=1,AC358=1,AD358=1),"No Error","Please supply all information"))</f>
        <v>No Error</v>
      </c>
      <c r="K358" s="174"/>
      <c r="L358" s="174"/>
      <c r="AA358" s="61">
        <f ca="1">COUNTBLANK(INDIRECT("C358"))</f>
        <v>1</v>
      </c>
      <c r="AB358" s="61">
        <f ca="1">COUNTBLANK(INDIRECT("d358"))</f>
        <v>1</v>
      </c>
      <c r="AC358" s="61">
        <f ca="1">COUNTBLANK(INDIRECT("e358"))</f>
        <v>1</v>
      </c>
      <c r="AD358" s="61">
        <f ca="1">COUNTBLANK(INDIRECT("f358"))</f>
        <v>1</v>
      </c>
      <c r="AE358" s="61">
        <f ca="1">COUNTBLANK(INDIRECT("g358"))</f>
        <v>1</v>
      </c>
      <c r="AF358" s="61">
        <f ca="1">COUNTBLANK(INDIRECT("h358"))</f>
        <v>1</v>
      </c>
      <c r="AG358" s="61">
        <f ca="1">COUNTBLANK(INDIRECT("b358"))</f>
        <v>1</v>
      </c>
    </row>
    <row r="359" spans="1:33" x14ac:dyDescent="0.25">
      <c r="A359" s="2">
        <v>27</v>
      </c>
      <c r="B359" s="63"/>
      <c r="C359" s="56"/>
      <c r="D359" s="56"/>
      <c r="E359" s="56"/>
      <c r="F359" s="56"/>
      <c r="G359" s="56"/>
      <c r="H359" s="56"/>
      <c r="I359" s="110" t="str">
        <f ca="1">IF(AND(INDIRECT("H359")&gt;=INDIRECT("F359"),AA359=0,AB359=0,AC359=0,AF359=0),"Yes",IF(AND(INDIRECT("H359")&lt;INDIRECT("F359"),AA359=0,AB359=0,AC359=0,AF359=0),"No","N/A"))</f>
        <v>N/A</v>
      </c>
      <c r="J359" s="174" t="str">
        <f t="shared" ca="1" si="18"/>
        <v>No Error</v>
      </c>
      <c r="K359" s="174"/>
      <c r="L359" s="174"/>
      <c r="AA359" s="61">
        <f ca="1">COUNTBLANK(INDIRECT("C359"))</f>
        <v>1</v>
      </c>
      <c r="AB359" s="61">
        <f ca="1">COUNTBLANK(INDIRECT("d359"))</f>
        <v>1</v>
      </c>
      <c r="AC359" s="61">
        <f ca="1">COUNTBLANK(INDIRECT("e359"))</f>
        <v>1</v>
      </c>
      <c r="AD359" s="61">
        <f ca="1">COUNTBLANK(INDIRECT("f359"))</f>
        <v>1</v>
      </c>
      <c r="AE359" s="61">
        <f ca="1">COUNTBLANK(INDIRECT("g359"))</f>
        <v>1</v>
      </c>
      <c r="AF359" s="61">
        <f ca="1">COUNTBLANK(INDIRECT("h359"))</f>
        <v>1</v>
      </c>
      <c r="AG359" s="61">
        <f ca="1">COUNTBLANK(INDIRECT("b359"))</f>
        <v>1</v>
      </c>
    </row>
    <row r="360" spans="1:33" x14ac:dyDescent="0.25">
      <c r="A360" s="2">
        <v>28</v>
      </c>
      <c r="B360" s="63"/>
      <c r="C360" s="56"/>
      <c r="D360" s="56"/>
      <c r="E360" s="56"/>
      <c r="F360" s="56"/>
      <c r="G360" s="56"/>
      <c r="H360" s="56"/>
      <c r="I360" s="110" t="str">
        <f ca="1">IF(AND(INDIRECT("H360")&gt;=INDIRECT("F360"),AA360=0,AB360=0,AC360=0,AF360=0),"Yes",IF(AND(INDIRECT("H360")&lt;INDIRECT("F360"),AA360=0,AB360=0,AC360=0,AF360=0),"No","N/A"))</f>
        <v>N/A</v>
      </c>
      <c r="J360" s="174" t="str">
        <f t="shared" ca="1" si="18"/>
        <v>No Error</v>
      </c>
      <c r="K360" s="174"/>
      <c r="L360" s="174"/>
      <c r="AA360" s="61">
        <f ca="1">COUNTBLANK(INDIRECT("C360"))</f>
        <v>1</v>
      </c>
      <c r="AB360" s="61">
        <f ca="1">COUNTBLANK(INDIRECT("d360"))</f>
        <v>1</v>
      </c>
      <c r="AC360" s="61">
        <f ca="1">COUNTBLANK(INDIRECT("e360"))</f>
        <v>1</v>
      </c>
      <c r="AD360" s="61">
        <f ca="1">COUNTBLANK(INDIRECT("f360"))</f>
        <v>1</v>
      </c>
      <c r="AE360" s="61">
        <f ca="1">COUNTBLANK(INDIRECT("g360"))</f>
        <v>1</v>
      </c>
      <c r="AF360" s="61">
        <f ca="1">COUNTBLANK(INDIRECT("h360"))</f>
        <v>1</v>
      </c>
      <c r="AG360" s="61">
        <f ca="1">COUNTBLANK(INDIRECT("b360"))</f>
        <v>1</v>
      </c>
    </row>
    <row r="361" spans="1:33" x14ac:dyDescent="0.25">
      <c r="A361" s="2">
        <v>29</v>
      </c>
      <c r="B361" s="63"/>
      <c r="C361" s="56"/>
      <c r="D361" s="56"/>
      <c r="E361" s="56"/>
      <c r="F361" s="56"/>
      <c r="G361" s="56"/>
      <c r="H361" s="56"/>
      <c r="I361" s="110" t="str">
        <f ca="1">IF(AND(INDIRECT("H361")&gt;=INDIRECT("F361"),AA361=0,AB361=0,AC361=0,AF361=0),"Yes",IF(AND(INDIRECT("H361")&lt;INDIRECT("F361"),AA361=0,AB361=0,AC361=0,AF361=0),"No","N/A"))</f>
        <v>N/A</v>
      </c>
      <c r="J361" s="174" t="str">
        <f t="shared" ca="1" si="18"/>
        <v>No Error</v>
      </c>
      <c r="K361" s="174"/>
      <c r="L361" s="174"/>
      <c r="AA361" s="61">
        <f ca="1">COUNTBLANK(INDIRECT("C361"))</f>
        <v>1</v>
      </c>
      <c r="AB361" s="61">
        <f ca="1">COUNTBLANK(INDIRECT("d361"))</f>
        <v>1</v>
      </c>
      <c r="AC361" s="61">
        <f ca="1">COUNTBLANK(INDIRECT("e361"))</f>
        <v>1</v>
      </c>
      <c r="AD361" s="61">
        <f ca="1">COUNTBLANK(INDIRECT("f361"))</f>
        <v>1</v>
      </c>
      <c r="AE361" s="61">
        <f ca="1">COUNTBLANK(INDIRECT("g361"))</f>
        <v>1</v>
      </c>
      <c r="AF361" s="61">
        <f ca="1">COUNTBLANK(INDIRECT("h361"))</f>
        <v>1</v>
      </c>
      <c r="AG361" s="61">
        <f ca="1">COUNTBLANK(INDIRECT("b361"))</f>
        <v>1</v>
      </c>
    </row>
    <row r="362" spans="1:33" x14ac:dyDescent="0.25">
      <c r="A362" s="2">
        <v>30</v>
      </c>
      <c r="B362" s="63"/>
      <c r="C362" s="56"/>
      <c r="D362" s="56"/>
      <c r="E362" s="56"/>
      <c r="F362" s="56"/>
      <c r="G362" s="56"/>
      <c r="H362" s="56"/>
      <c r="I362" s="110" t="str">
        <f ca="1">IF(AND(INDIRECT("H362")&gt;=INDIRECT("F362"),AA362=0,AB362=0,AC362=0,AF362=0),"Yes",IF(AND(INDIRECT("H362")&lt;INDIRECT("F362"),AA362=0,AB362=0,AC362=0,AF362=0),"No","N/A"))</f>
        <v>N/A</v>
      </c>
      <c r="J362" s="174" t="str">
        <f t="shared" ca="1" si="18"/>
        <v>No Error</v>
      </c>
      <c r="K362" s="174"/>
      <c r="L362" s="174"/>
      <c r="AA362" s="61">
        <f ca="1">COUNTBLANK(INDIRECT("C362"))</f>
        <v>1</v>
      </c>
      <c r="AB362" s="61">
        <f ca="1">COUNTBLANK(INDIRECT("d362"))</f>
        <v>1</v>
      </c>
      <c r="AC362" s="61">
        <f ca="1">COUNTBLANK(INDIRECT("e362"))</f>
        <v>1</v>
      </c>
      <c r="AD362" s="61">
        <f ca="1">COUNTBLANK(INDIRECT("f362"))</f>
        <v>1</v>
      </c>
      <c r="AE362" s="61">
        <f ca="1">COUNTBLANK(INDIRECT("g362"))</f>
        <v>1</v>
      </c>
      <c r="AF362" s="61">
        <f ca="1">COUNTBLANK(INDIRECT("h362"))</f>
        <v>1</v>
      </c>
      <c r="AG362" s="61">
        <f ca="1">COUNTBLANK(INDIRECT("b362"))</f>
        <v>1</v>
      </c>
    </row>
    <row r="363" spans="1:33" x14ac:dyDescent="0.25">
      <c r="A363" s="2">
        <v>31</v>
      </c>
      <c r="B363" s="63"/>
      <c r="C363" s="56"/>
      <c r="D363" s="56"/>
      <c r="E363" s="56"/>
      <c r="F363" s="56"/>
      <c r="G363" s="56"/>
      <c r="H363" s="56"/>
      <c r="I363" s="110" t="str">
        <f ca="1">IF(AND(INDIRECT("H363")&gt;=INDIRECT("F363"),AA363=0,AB363=0,AC363=0,AF363=0),"Yes",IF(AND(INDIRECT("H363")&lt;INDIRECT("F363"),AA363=0,AB363=0,AC363=0,AF363=0),"No","N/A"))</f>
        <v>N/A</v>
      </c>
      <c r="J363" s="174" t="str">
        <f t="shared" ca="1" si="18"/>
        <v>No Error</v>
      </c>
      <c r="K363" s="174"/>
      <c r="L363" s="174"/>
      <c r="AA363" s="61">
        <f ca="1">COUNTBLANK(INDIRECT("C363"))</f>
        <v>1</v>
      </c>
      <c r="AB363" s="61">
        <f ca="1">COUNTBLANK(INDIRECT("d363"))</f>
        <v>1</v>
      </c>
      <c r="AC363" s="61">
        <f ca="1">COUNTBLANK(INDIRECT("e363"))</f>
        <v>1</v>
      </c>
      <c r="AD363" s="61">
        <f ca="1">COUNTBLANK(INDIRECT("f363"))</f>
        <v>1</v>
      </c>
      <c r="AE363" s="61">
        <f ca="1">COUNTBLANK(INDIRECT("g363"))</f>
        <v>1</v>
      </c>
      <c r="AF363" s="61">
        <f ca="1">COUNTBLANK(INDIRECT("h363"))</f>
        <v>1</v>
      </c>
      <c r="AG363" s="61">
        <f ca="1">COUNTBLANK(INDIRECT("b363"))</f>
        <v>1</v>
      </c>
    </row>
    <row r="364" spans="1:33" x14ac:dyDescent="0.25">
      <c r="A364" s="2">
        <v>32</v>
      </c>
      <c r="B364" s="63"/>
      <c r="C364" s="56"/>
      <c r="D364" s="56"/>
      <c r="E364" s="56"/>
      <c r="F364" s="56"/>
      <c r="G364" s="56"/>
      <c r="H364" s="56"/>
      <c r="I364" s="110" t="str">
        <f ca="1">IF(AND(INDIRECT("H364")&gt;=INDIRECT("F364"),AA364=0,AB364=0,AC364=0,AF364=0),"Yes",IF(AND(INDIRECT("H364")&lt;INDIRECT("F364"),AA364=0,AB364=0,AC364=0,AF364=0),"No","N/A"))</f>
        <v>N/A</v>
      </c>
      <c r="J364" s="174" t="str">
        <f t="shared" ca="1" si="18"/>
        <v>No Error</v>
      </c>
      <c r="K364" s="174"/>
      <c r="L364" s="174"/>
      <c r="AA364" s="61">
        <f ca="1">COUNTBLANK(INDIRECT("C364"))</f>
        <v>1</v>
      </c>
      <c r="AB364" s="61">
        <f ca="1">COUNTBLANK(INDIRECT("d364"))</f>
        <v>1</v>
      </c>
      <c r="AC364" s="61">
        <f ca="1">COUNTBLANK(INDIRECT("e364"))</f>
        <v>1</v>
      </c>
      <c r="AD364" s="61">
        <f ca="1">COUNTBLANK(INDIRECT("f364"))</f>
        <v>1</v>
      </c>
      <c r="AE364" s="61">
        <f ca="1">COUNTBLANK(INDIRECT("g364"))</f>
        <v>1</v>
      </c>
      <c r="AF364" s="61">
        <f ca="1">COUNTBLANK(INDIRECT("h364"))</f>
        <v>1</v>
      </c>
      <c r="AG364" s="61">
        <f ca="1">COUNTBLANK(INDIRECT("b364"))</f>
        <v>1</v>
      </c>
    </row>
    <row r="365" spans="1:33" x14ac:dyDescent="0.25">
      <c r="A365" s="2">
        <v>33</v>
      </c>
      <c r="B365" s="63"/>
      <c r="C365" s="56"/>
      <c r="D365" s="56"/>
      <c r="E365" s="56"/>
      <c r="F365" s="56"/>
      <c r="G365" s="56"/>
      <c r="H365" s="56"/>
      <c r="I365" s="110" t="str">
        <f ca="1">IF(AND(INDIRECT("H365")&gt;=INDIRECT("F365"),AA365=0,AB365=0,AC365=0,AF365=0),"Yes",IF(AND(INDIRECT("H365")&lt;INDIRECT("F365"),AA365=0,AB365=0,AC365=0,AF365=0),"No","N/A"))</f>
        <v>N/A</v>
      </c>
      <c r="J365" s="174" t="str">
        <f t="shared" ca="1" si="18"/>
        <v>No Error</v>
      </c>
      <c r="K365" s="174"/>
      <c r="L365" s="174"/>
      <c r="AA365" s="61">
        <f ca="1">COUNTBLANK(INDIRECT("C365"))</f>
        <v>1</v>
      </c>
      <c r="AB365" s="61">
        <f ca="1">COUNTBLANK(INDIRECT("d365"))</f>
        <v>1</v>
      </c>
      <c r="AC365" s="61">
        <f ca="1">COUNTBLANK(INDIRECT("e365"))</f>
        <v>1</v>
      </c>
      <c r="AD365" s="61">
        <f ca="1">COUNTBLANK(INDIRECT("f365"))</f>
        <v>1</v>
      </c>
      <c r="AE365" s="61">
        <f ca="1">COUNTBLANK(INDIRECT("g365"))</f>
        <v>1</v>
      </c>
      <c r="AF365" s="61">
        <f ca="1">COUNTBLANK(INDIRECT("h365"))</f>
        <v>1</v>
      </c>
      <c r="AG365" s="61">
        <f ca="1">COUNTBLANK(INDIRECT("b365"))</f>
        <v>1</v>
      </c>
    </row>
    <row r="366" spans="1:33" x14ac:dyDescent="0.25">
      <c r="A366" s="2">
        <v>34</v>
      </c>
      <c r="B366" s="63"/>
      <c r="C366" s="56"/>
      <c r="D366" s="56"/>
      <c r="E366" s="56"/>
      <c r="F366" s="56"/>
      <c r="G366" s="56"/>
      <c r="H366" s="56"/>
      <c r="I366" s="110" t="str">
        <f ca="1">IF(AND(INDIRECT("H366")&gt;=INDIRECT("F366"),AA366=0,AB366=0,AC366=0,AF366=0),"Yes",IF(AND(INDIRECT("H366")&lt;INDIRECT("F366"),AA366=0,AB366=0,AC366=0,AF366=0),"No","N/A"))</f>
        <v>N/A</v>
      </c>
      <c r="J366" s="174" t="str">
        <f t="shared" ca="1" si="18"/>
        <v>No Error</v>
      </c>
      <c r="K366" s="174"/>
      <c r="L366" s="174"/>
      <c r="AA366" s="61">
        <f ca="1">COUNTBLANK(INDIRECT("C366"))</f>
        <v>1</v>
      </c>
      <c r="AB366" s="61">
        <f ca="1">COUNTBLANK(INDIRECT("d366"))</f>
        <v>1</v>
      </c>
      <c r="AC366" s="61">
        <f ca="1">COUNTBLANK(INDIRECT("e366"))</f>
        <v>1</v>
      </c>
      <c r="AD366" s="61">
        <f ca="1">COUNTBLANK(INDIRECT("f366"))</f>
        <v>1</v>
      </c>
      <c r="AE366" s="61">
        <f ca="1">COUNTBLANK(INDIRECT("g366"))</f>
        <v>1</v>
      </c>
      <c r="AF366" s="61">
        <f ca="1">COUNTBLANK(INDIRECT("h366"))</f>
        <v>1</v>
      </c>
      <c r="AG366" s="61">
        <f ca="1">COUNTBLANK(INDIRECT("b366"))</f>
        <v>1</v>
      </c>
    </row>
    <row r="367" spans="1:33" x14ac:dyDescent="0.25">
      <c r="A367" s="2">
        <v>35</v>
      </c>
      <c r="B367" s="63"/>
      <c r="C367" s="56"/>
      <c r="D367" s="56"/>
      <c r="E367" s="56"/>
      <c r="F367" s="56"/>
      <c r="G367" s="56"/>
      <c r="H367" s="56"/>
      <c r="I367" s="110" t="str">
        <f ca="1">IF(AND(INDIRECT("H367")&gt;=INDIRECT("F367"),AA367=0,AB367=0,AC367=0,AF367=0),"Yes",IF(AND(INDIRECT("H367")&lt;INDIRECT("F367"),AA367=0,AB367=0,AC367=0,AF367=0),"No","N/A"))</f>
        <v>N/A</v>
      </c>
      <c r="J367" s="174" t="str">
        <f t="shared" ca="1" si="18"/>
        <v>No Error</v>
      </c>
      <c r="K367" s="174"/>
      <c r="L367" s="174"/>
      <c r="AA367" s="61">
        <f ca="1">COUNTBLANK(INDIRECT("C367"))</f>
        <v>1</v>
      </c>
      <c r="AB367" s="61">
        <f ca="1">COUNTBLANK(INDIRECT("d367"))</f>
        <v>1</v>
      </c>
      <c r="AC367" s="61">
        <f ca="1">COUNTBLANK(INDIRECT("e367"))</f>
        <v>1</v>
      </c>
      <c r="AD367" s="61">
        <f ca="1">COUNTBLANK(INDIRECT("f367"))</f>
        <v>1</v>
      </c>
      <c r="AE367" s="61">
        <f ca="1">COUNTBLANK(INDIRECT("g367"))</f>
        <v>1</v>
      </c>
      <c r="AF367" s="61">
        <f ca="1">COUNTBLANK(INDIRECT("h367"))</f>
        <v>1</v>
      </c>
      <c r="AG367" s="61">
        <f ca="1">COUNTBLANK(INDIRECT("b367"))</f>
        <v>1</v>
      </c>
    </row>
    <row r="368" spans="1:33" x14ac:dyDescent="0.25">
      <c r="A368" s="2">
        <v>36</v>
      </c>
      <c r="B368" s="63"/>
      <c r="C368" s="56"/>
      <c r="D368" s="56"/>
      <c r="E368" s="56"/>
      <c r="F368" s="56"/>
      <c r="G368" s="56"/>
      <c r="H368" s="56"/>
      <c r="I368" s="110" t="str">
        <f ca="1">IF(AND(INDIRECT("H368")&gt;=INDIRECT("F368"),AA368=0,AB368=0,AC368=0,AF368=0),"Yes",IF(AND(INDIRECT("H368")&lt;INDIRECT("F368"),AA368=0,AB368=0,AC368=0,AF368=0),"No","N/A"))</f>
        <v>N/A</v>
      </c>
      <c r="J368" s="174" t="str">
        <f t="shared" ca="1" si="18"/>
        <v>No Error</v>
      </c>
      <c r="K368" s="174"/>
      <c r="L368" s="174"/>
      <c r="AA368" s="61">
        <f ca="1">COUNTBLANK(INDIRECT("C368"))</f>
        <v>1</v>
      </c>
      <c r="AB368" s="61">
        <f ca="1">COUNTBLANK(INDIRECT("d368"))</f>
        <v>1</v>
      </c>
      <c r="AC368" s="61">
        <f ca="1">COUNTBLANK(INDIRECT("e368"))</f>
        <v>1</v>
      </c>
      <c r="AD368" s="61">
        <f ca="1">COUNTBLANK(INDIRECT("f368"))</f>
        <v>1</v>
      </c>
      <c r="AE368" s="61">
        <f ca="1">COUNTBLANK(INDIRECT("g368"))</f>
        <v>1</v>
      </c>
      <c r="AF368" s="61">
        <f ca="1">COUNTBLANK(INDIRECT("h368"))</f>
        <v>1</v>
      </c>
      <c r="AG368" s="61">
        <f ca="1">COUNTBLANK(INDIRECT("b368"))</f>
        <v>1</v>
      </c>
    </row>
    <row r="369" spans="1:33" x14ac:dyDescent="0.25">
      <c r="A369" s="2">
        <v>37</v>
      </c>
      <c r="B369" s="63"/>
      <c r="C369" s="56"/>
      <c r="D369" s="56"/>
      <c r="E369" s="56"/>
      <c r="F369" s="56"/>
      <c r="G369" s="56"/>
      <c r="H369" s="56"/>
      <c r="I369" s="110" t="str">
        <f ca="1">IF(AND(INDIRECT("H369")&gt;=INDIRECT("F369"),AA369=0,AB369=0,AC369=0,AF369=0),"Yes",IF(AND(INDIRECT("H369")&lt;INDIRECT("F369"),AA369=0,AB369=0,AC369=0,AF369=0),"No","N/A"))</f>
        <v>N/A</v>
      </c>
      <c r="J369" s="174" t="str">
        <f t="shared" ca="1" si="18"/>
        <v>No Error</v>
      </c>
      <c r="K369" s="174"/>
      <c r="L369" s="174"/>
      <c r="AA369" s="61">
        <f ca="1">COUNTBLANK(INDIRECT("C369"))</f>
        <v>1</v>
      </c>
      <c r="AB369" s="61">
        <f ca="1">COUNTBLANK(INDIRECT("d369"))</f>
        <v>1</v>
      </c>
      <c r="AC369" s="61">
        <f ca="1">COUNTBLANK(INDIRECT("e369"))</f>
        <v>1</v>
      </c>
      <c r="AD369" s="61">
        <f ca="1">COUNTBLANK(INDIRECT("f369"))</f>
        <v>1</v>
      </c>
      <c r="AE369" s="61">
        <f ca="1">COUNTBLANK(INDIRECT("g369"))</f>
        <v>1</v>
      </c>
      <c r="AF369" s="61">
        <f ca="1">COUNTBLANK(INDIRECT("h369"))</f>
        <v>1</v>
      </c>
      <c r="AG369" s="61">
        <f ca="1">COUNTBLANK(INDIRECT("b369"))</f>
        <v>1</v>
      </c>
    </row>
    <row r="370" spans="1:33" x14ac:dyDescent="0.25">
      <c r="A370" s="2">
        <v>38</v>
      </c>
      <c r="B370" s="63"/>
      <c r="C370" s="56"/>
      <c r="D370" s="56"/>
      <c r="E370" s="56"/>
      <c r="F370" s="56"/>
      <c r="G370" s="56"/>
      <c r="H370" s="56"/>
      <c r="I370" s="110" t="str">
        <f ca="1">IF(AND(INDIRECT("H370")&gt;=INDIRECT("F370"),AA370=0,AB370=0,AC370=0,AF370=0),"Yes",IF(AND(INDIRECT("H370")&lt;INDIRECT("F370"),AA370=0,AB370=0,AC370=0,AF370=0),"No","N/A"))</f>
        <v>N/A</v>
      </c>
      <c r="J370" s="174" t="str">
        <f t="shared" ca="1" si="18"/>
        <v>No Error</v>
      </c>
      <c r="K370" s="174"/>
      <c r="L370" s="174"/>
      <c r="AA370" s="61">
        <f ca="1">COUNTBLANK(INDIRECT("C370"))</f>
        <v>1</v>
      </c>
      <c r="AB370" s="61">
        <f ca="1">COUNTBLANK(INDIRECT("d370"))</f>
        <v>1</v>
      </c>
      <c r="AC370" s="61">
        <f ca="1">COUNTBLANK(INDIRECT("e370"))</f>
        <v>1</v>
      </c>
      <c r="AD370" s="61">
        <f ca="1">COUNTBLANK(INDIRECT("f370"))</f>
        <v>1</v>
      </c>
      <c r="AE370" s="61">
        <f ca="1">COUNTBLANK(INDIRECT("g370"))</f>
        <v>1</v>
      </c>
      <c r="AF370" s="61">
        <f ca="1">COUNTBLANK(INDIRECT("h370"))</f>
        <v>1</v>
      </c>
      <c r="AG370" s="61">
        <f ca="1">COUNTBLANK(INDIRECT("b370"))</f>
        <v>1</v>
      </c>
    </row>
    <row r="371" spans="1:33" x14ac:dyDescent="0.25">
      <c r="A371" s="2">
        <v>39</v>
      </c>
      <c r="B371" s="63"/>
      <c r="C371" s="56"/>
      <c r="D371" s="56"/>
      <c r="E371" s="56"/>
      <c r="F371" s="56"/>
      <c r="G371" s="56"/>
      <c r="H371" s="56"/>
      <c r="I371" s="110" t="str">
        <f ca="1">IF(AND(INDIRECT("H371")&gt;=INDIRECT("F371"),AA371=0,AB371=0,AC371=0,AF371=0),"Yes",IF(AND(INDIRECT("H371")&lt;INDIRECT("F371"),AA371=0,AB371=0,AC371=0,AF371=0),"No","N/A"))</f>
        <v>N/A</v>
      </c>
      <c r="J371" s="174" t="str">
        <f t="shared" ca="1" si="18"/>
        <v>No Error</v>
      </c>
      <c r="K371" s="174"/>
      <c r="L371" s="174"/>
      <c r="AA371" s="61">
        <f ca="1">COUNTBLANK(INDIRECT("C371"))</f>
        <v>1</v>
      </c>
      <c r="AB371" s="61">
        <f ca="1">COUNTBLANK(INDIRECT("d371"))</f>
        <v>1</v>
      </c>
      <c r="AC371" s="61">
        <f ca="1">COUNTBLANK(INDIRECT("e371"))</f>
        <v>1</v>
      </c>
      <c r="AD371" s="61">
        <f ca="1">COUNTBLANK(INDIRECT("f371"))</f>
        <v>1</v>
      </c>
      <c r="AE371" s="61">
        <f ca="1">COUNTBLANK(INDIRECT("g371"))</f>
        <v>1</v>
      </c>
      <c r="AF371" s="61">
        <f ca="1">COUNTBLANK(INDIRECT("h371"))</f>
        <v>1</v>
      </c>
      <c r="AG371" s="61">
        <f ca="1">COUNTBLANK(INDIRECT("b371"))</f>
        <v>1</v>
      </c>
    </row>
    <row r="372" spans="1:33" x14ac:dyDescent="0.25">
      <c r="A372" s="2">
        <v>40</v>
      </c>
      <c r="B372" s="63"/>
      <c r="C372" s="56"/>
      <c r="D372" s="56"/>
      <c r="E372" s="56"/>
      <c r="F372" s="56"/>
      <c r="G372" s="56"/>
      <c r="H372" s="56"/>
      <c r="I372" s="110" t="str">
        <f ca="1">IF(AND(INDIRECT("H372")&gt;=INDIRECT("F372"),AA372=0,AB372=0,AC372=0,AF372=0),"Yes",IF(AND(INDIRECT("H372")&lt;INDIRECT("F372"),AA372=0,AB372=0,AC372=0,AF372=0),"No","N/A"))</f>
        <v>N/A</v>
      </c>
      <c r="J372" s="174" t="str">
        <f t="shared" ca="1" si="18"/>
        <v>No Error</v>
      </c>
      <c r="K372" s="174"/>
      <c r="L372" s="174"/>
      <c r="AA372" s="61">
        <f ca="1">COUNTBLANK(INDIRECT("C372"))</f>
        <v>1</v>
      </c>
      <c r="AB372" s="61">
        <f ca="1">COUNTBLANK(INDIRECT("d372"))</f>
        <v>1</v>
      </c>
      <c r="AC372" s="61">
        <f ca="1">COUNTBLANK(INDIRECT("e372"))</f>
        <v>1</v>
      </c>
      <c r="AD372" s="61">
        <f ca="1">COUNTBLANK(INDIRECT("f372"))</f>
        <v>1</v>
      </c>
      <c r="AE372" s="61">
        <f ca="1">COUNTBLANK(INDIRECT("g372"))</f>
        <v>1</v>
      </c>
      <c r="AF372" s="61">
        <f ca="1">COUNTBLANK(INDIRECT("h372"))</f>
        <v>1</v>
      </c>
      <c r="AG372" s="61">
        <f ca="1">COUNTBLANK(INDIRECT("b372"))</f>
        <v>1</v>
      </c>
    </row>
    <row r="373" spans="1:33" x14ac:dyDescent="0.25">
      <c r="A373" s="2">
        <v>41</v>
      </c>
      <c r="B373" s="63"/>
      <c r="C373" s="56"/>
      <c r="D373" s="56"/>
      <c r="E373" s="56"/>
      <c r="F373" s="56"/>
      <c r="G373" s="56"/>
      <c r="H373" s="56"/>
      <c r="I373" s="110" t="str">
        <f ca="1">IF(AND(INDIRECT("H373")&gt;=INDIRECT("F373"),AA373=0,AB373=0,AC373=0,AF373=0),"Yes",IF(AND(INDIRECT("H373")&lt;INDIRECT("F373"),AA373=0,AB373=0,AC373=0,AF373=0),"No","N/A"))</f>
        <v>N/A</v>
      </c>
      <c r="J373" s="174" t="str">
        <f t="shared" ca="1" si="18"/>
        <v>No Error</v>
      </c>
      <c r="K373" s="174"/>
      <c r="L373" s="174"/>
      <c r="AA373" s="61">
        <f ca="1">COUNTBLANK(INDIRECT("C373"))</f>
        <v>1</v>
      </c>
      <c r="AB373" s="61">
        <f ca="1">COUNTBLANK(INDIRECT("d373"))</f>
        <v>1</v>
      </c>
      <c r="AC373" s="61">
        <f ca="1">COUNTBLANK(INDIRECT("e373"))</f>
        <v>1</v>
      </c>
      <c r="AD373" s="61">
        <f ca="1">COUNTBLANK(INDIRECT("f373"))</f>
        <v>1</v>
      </c>
      <c r="AE373" s="61">
        <f ca="1">COUNTBLANK(INDIRECT("g373"))</f>
        <v>1</v>
      </c>
      <c r="AF373" s="61">
        <f ca="1">COUNTBLANK(INDIRECT("h373"))</f>
        <v>1</v>
      </c>
      <c r="AG373" s="61">
        <f ca="1">COUNTBLANK(INDIRECT("b373"))</f>
        <v>1</v>
      </c>
    </row>
    <row r="374" spans="1:33" x14ac:dyDescent="0.25">
      <c r="A374" s="2">
        <v>42</v>
      </c>
      <c r="B374" s="63"/>
      <c r="C374" s="56"/>
      <c r="D374" s="56"/>
      <c r="E374" s="56"/>
      <c r="F374" s="56"/>
      <c r="G374" s="56"/>
      <c r="H374" s="56"/>
      <c r="I374" s="110" t="str">
        <f ca="1">IF(AND(INDIRECT("H374")&gt;=INDIRECT("F374"),AA374=0,AB374=0,AC374=0,AF374=0),"Yes",IF(AND(INDIRECT("H374")&lt;INDIRECT("F374"),AA374=0,AB374=0,AC374=0,AF374=0),"No","N/A"))</f>
        <v>N/A</v>
      </c>
      <c r="J374" s="174" t="str">
        <f t="shared" ca="1" si="18"/>
        <v>No Error</v>
      </c>
      <c r="K374" s="174"/>
      <c r="L374" s="174"/>
      <c r="AA374" s="61">
        <f ca="1">COUNTBLANK(INDIRECT("C374"))</f>
        <v>1</v>
      </c>
      <c r="AB374" s="61">
        <f ca="1">COUNTBLANK(INDIRECT("d374"))</f>
        <v>1</v>
      </c>
      <c r="AC374" s="61">
        <f ca="1">COUNTBLANK(INDIRECT("e374"))</f>
        <v>1</v>
      </c>
      <c r="AD374" s="61">
        <f ca="1">COUNTBLANK(INDIRECT("f374"))</f>
        <v>1</v>
      </c>
      <c r="AE374" s="61">
        <f ca="1">COUNTBLANK(INDIRECT("g374"))</f>
        <v>1</v>
      </c>
      <c r="AF374" s="61">
        <f ca="1">COUNTBLANK(INDIRECT("h374"))</f>
        <v>1</v>
      </c>
      <c r="AG374" s="61">
        <f ca="1">COUNTBLANK(INDIRECT("b374"))</f>
        <v>1</v>
      </c>
    </row>
    <row r="375" spans="1:33" x14ac:dyDescent="0.25">
      <c r="A375" s="2">
        <v>43</v>
      </c>
      <c r="B375" s="63"/>
      <c r="C375" s="56"/>
      <c r="D375" s="56"/>
      <c r="E375" s="56"/>
      <c r="F375" s="56"/>
      <c r="G375" s="56"/>
      <c r="H375" s="56"/>
      <c r="I375" s="110" t="str">
        <f ca="1">IF(AND(INDIRECT("H375")&gt;=INDIRECT("F375"),AA375=0,AB375=0,AC375=0,AF375=0),"Yes",IF(AND(INDIRECT("H375")&lt;INDIRECT("F375"),AA375=0,AB375=0,AC375=0,AF375=0),"No","N/A"))</f>
        <v>N/A</v>
      </c>
      <c r="J375" s="174" t="str">
        <f t="shared" ca="1" si="18"/>
        <v>No Error</v>
      </c>
      <c r="K375" s="174"/>
      <c r="L375" s="174"/>
      <c r="AA375" s="61">
        <f ca="1">COUNTBLANK(INDIRECT("C375"))</f>
        <v>1</v>
      </c>
      <c r="AB375" s="61">
        <f ca="1">COUNTBLANK(INDIRECT("d375"))</f>
        <v>1</v>
      </c>
      <c r="AC375" s="61">
        <f ca="1">COUNTBLANK(INDIRECT("e375"))</f>
        <v>1</v>
      </c>
      <c r="AD375" s="61">
        <f ca="1">COUNTBLANK(INDIRECT("f375"))</f>
        <v>1</v>
      </c>
      <c r="AE375" s="61">
        <f ca="1">COUNTBLANK(INDIRECT("g375"))</f>
        <v>1</v>
      </c>
      <c r="AF375" s="61">
        <f ca="1">COUNTBLANK(INDIRECT("h375"))</f>
        <v>1</v>
      </c>
      <c r="AG375" s="61">
        <f ca="1">COUNTBLANK(INDIRECT("b375"))</f>
        <v>1</v>
      </c>
    </row>
    <row r="376" spans="1:33" x14ac:dyDescent="0.25">
      <c r="A376" s="2">
        <v>44</v>
      </c>
      <c r="B376" s="63"/>
      <c r="C376" s="56"/>
      <c r="D376" s="56"/>
      <c r="E376" s="56"/>
      <c r="F376" s="56"/>
      <c r="G376" s="56"/>
      <c r="H376" s="56"/>
      <c r="I376" s="110" t="str">
        <f ca="1">IF(AND(INDIRECT("H376")&gt;=INDIRECT("F376"),AA376=0,AB376=0,AC376=0,AF376=0),"Yes",IF(AND(INDIRECT("H376")&lt;INDIRECT("F376"),AA376=0,AB376=0,AC376=0,AF376=0),"No","N/A"))</f>
        <v>N/A</v>
      </c>
      <c r="J376" s="174" t="str">
        <f t="shared" ca="1" si="18"/>
        <v>No Error</v>
      </c>
      <c r="K376" s="174"/>
      <c r="L376" s="174"/>
      <c r="AA376" s="61">
        <f ca="1">COUNTBLANK(INDIRECT("C376"))</f>
        <v>1</v>
      </c>
      <c r="AB376" s="61">
        <f ca="1">COUNTBLANK(INDIRECT("d376"))</f>
        <v>1</v>
      </c>
      <c r="AC376" s="61">
        <f ca="1">COUNTBLANK(INDIRECT("e376"))</f>
        <v>1</v>
      </c>
      <c r="AD376" s="61">
        <f ca="1">COUNTBLANK(INDIRECT("f376"))</f>
        <v>1</v>
      </c>
      <c r="AE376" s="61">
        <f ca="1">COUNTBLANK(INDIRECT("g376"))</f>
        <v>1</v>
      </c>
      <c r="AF376" s="61">
        <f ca="1">COUNTBLANK(INDIRECT("h376"))</f>
        <v>1</v>
      </c>
      <c r="AG376" s="61">
        <f ca="1">COUNTBLANK(INDIRECT("b376"))</f>
        <v>1</v>
      </c>
    </row>
    <row r="377" spans="1:33" x14ac:dyDescent="0.25">
      <c r="A377" s="2">
        <v>45</v>
      </c>
      <c r="B377" s="63"/>
      <c r="C377" s="56"/>
      <c r="D377" s="56"/>
      <c r="E377" s="56"/>
      <c r="F377" s="56"/>
      <c r="G377" s="56"/>
      <c r="H377" s="56"/>
      <c r="I377" s="110" t="str">
        <f ca="1">IF(AND(INDIRECT("H377")&gt;=INDIRECT("F377"),AA377=0,AB377=0,AC377=0,AF377=0),"Yes",IF(AND(INDIRECT("H377")&lt;INDIRECT("F377"),AA377=0,AB377=0,AC377=0,AF377=0),"No","N/A"))</f>
        <v>N/A</v>
      </c>
      <c r="J377" s="174" t="str">
        <f t="shared" ca="1" si="18"/>
        <v>No Error</v>
      </c>
      <c r="K377" s="174"/>
      <c r="L377" s="174"/>
      <c r="AA377" s="61">
        <f ca="1">COUNTBLANK(INDIRECT("C377"))</f>
        <v>1</v>
      </c>
      <c r="AB377" s="61">
        <f ca="1">COUNTBLANK(INDIRECT("d377"))</f>
        <v>1</v>
      </c>
      <c r="AC377" s="61">
        <f ca="1">COUNTBLANK(INDIRECT("e377"))</f>
        <v>1</v>
      </c>
      <c r="AD377" s="61">
        <f ca="1">COUNTBLANK(INDIRECT("f377"))</f>
        <v>1</v>
      </c>
      <c r="AE377" s="61">
        <f ca="1">COUNTBLANK(INDIRECT("g377"))</f>
        <v>1</v>
      </c>
      <c r="AF377" s="61">
        <f ca="1">COUNTBLANK(INDIRECT("h377"))</f>
        <v>1</v>
      </c>
      <c r="AG377" s="61">
        <f ca="1">COUNTBLANK(INDIRECT("b377"))</f>
        <v>1</v>
      </c>
    </row>
    <row r="378" spans="1:33" x14ac:dyDescent="0.25">
      <c r="A378" s="2">
        <v>46</v>
      </c>
      <c r="B378" s="63"/>
      <c r="C378" s="56"/>
      <c r="D378" s="56"/>
      <c r="E378" s="56"/>
      <c r="F378" s="56"/>
      <c r="G378" s="56"/>
      <c r="H378" s="56"/>
      <c r="I378" s="110" t="str">
        <f ca="1">IF(AND(INDIRECT("H378")&gt;=INDIRECT("F378"),AA378=0,AB378=0,AC378=0,AF378=0),"Yes",IF(AND(INDIRECT("H378")&lt;INDIRECT("F378"),AA378=0,AB378=0,AC378=0,AF378=0),"No","N/A"))</f>
        <v>N/A</v>
      </c>
      <c r="J378" s="174" t="str">
        <f t="shared" ca="1" si="18"/>
        <v>No Error</v>
      </c>
      <c r="K378" s="174"/>
      <c r="L378" s="174"/>
      <c r="AA378" s="61">
        <f ca="1">COUNTBLANK(INDIRECT("C378"))</f>
        <v>1</v>
      </c>
      <c r="AB378" s="61">
        <f ca="1">COUNTBLANK(INDIRECT("d378"))</f>
        <v>1</v>
      </c>
      <c r="AC378" s="61">
        <f ca="1">COUNTBLANK(INDIRECT("e378"))</f>
        <v>1</v>
      </c>
      <c r="AD378" s="61">
        <f ca="1">COUNTBLANK(INDIRECT("f378"))</f>
        <v>1</v>
      </c>
      <c r="AE378" s="61">
        <f ca="1">COUNTBLANK(INDIRECT("g378"))</f>
        <v>1</v>
      </c>
      <c r="AF378" s="61">
        <f ca="1">COUNTBLANK(INDIRECT("h378"))</f>
        <v>1</v>
      </c>
      <c r="AG378" s="61">
        <f ca="1">COUNTBLANK(INDIRECT("b378"))</f>
        <v>1</v>
      </c>
    </row>
    <row r="379" spans="1:33" x14ac:dyDescent="0.25">
      <c r="A379" s="2">
        <v>47</v>
      </c>
      <c r="B379" s="63"/>
      <c r="C379" s="56"/>
      <c r="D379" s="56"/>
      <c r="E379" s="56"/>
      <c r="F379" s="56"/>
      <c r="G379" s="56"/>
      <c r="H379" s="56"/>
      <c r="I379" s="110" t="str">
        <f ca="1">IF(AND(INDIRECT("H379")&gt;=INDIRECT("F379"),AA379=0,AB379=0,AC379=0,AF379=0),"Yes",IF(AND(INDIRECT("H379")&lt;INDIRECT("F379"),AA379=0,AB379=0,AC379=0,AF379=0),"No","N/A"))</f>
        <v>N/A</v>
      </c>
      <c r="J379" s="174" t="str">
        <f t="shared" ca="1" si="18"/>
        <v>No Error</v>
      </c>
      <c r="K379" s="174"/>
      <c r="L379" s="174"/>
      <c r="AA379" s="61">
        <f ca="1">COUNTBLANK(INDIRECT("C379"))</f>
        <v>1</v>
      </c>
      <c r="AB379" s="61">
        <f ca="1">COUNTBLANK(INDIRECT("d379"))</f>
        <v>1</v>
      </c>
      <c r="AC379" s="61">
        <f ca="1">COUNTBLANK(INDIRECT("e379"))</f>
        <v>1</v>
      </c>
      <c r="AD379" s="61">
        <f ca="1">COUNTBLANK(INDIRECT("f379"))</f>
        <v>1</v>
      </c>
      <c r="AE379" s="61">
        <f ca="1">COUNTBLANK(INDIRECT("g379"))</f>
        <v>1</v>
      </c>
      <c r="AF379" s="61">
        <f ca="1">COUNTBLANK(INDIRECT("h379"))</f>
        <v>1</v>
      </c>
      <c r="AG379" s="61">
        <f ca="1">COUNTBLANK(INDIRECT("b379"))</f>
        <v>1</v>
      </c>
    </row>
    <row r="380" spans="1:33" x14ac:dyDescent="0.25">
      <c r="A380" s="2">
        <v>48</v>
      </c>
      <c r="B380" s="63"/>
      <c r="C380" s="56"/>
      <c r="D380" s="56"/>
      <c r="E380" s="56"/>
      <c r="F380" s="56"/>
      <c r="G380" s="56"/>
      <c r="H380" s="56"/>
      <c r="I380" s="110" t="str">
        <f ca="1">IF(AND(INDIRECT("H380")&gt;=INDIRECT("F380"),AA380=0,AB380=0,AC380=0,AF380=0),"Yes",IF(AND(INDIRECT("H380")&lt;INDIRECT("F380"),AA380=0,AB380=0,AC380=0,AF380=0),"No","N/A"))</f>
        <v>N/A</v>
      </c>
      <c r="J380" s="174" t="str">
        <f t="shared" ca="1" si="18"/>
        <v>No Error</v>
      </c>
      <c r="K380" s="174"/>
      <c r="L380" s="174"/>
      <c r="AA380" s="61">
        <f ca="1">COUNTBLANK(INDIRECT("C380"))</f>
        <v>1</v>
      </c>
      <c r="AB380" s="61">
        <f ca="1">COUNTBLANK(INDIRECT("d380"))</f>
        <v>1</v>
      </c>
      <c r="AC380" s="61">
        <f ca="1">COUNTBLANK(INDIRECT("e380"))</f>
        <v>1</v>
      </c>
      <c r="AD380" s="61">
        <f ca="1">COUNTBLANK(INDIRECT("f380"))</f>
        <v>1</v>
      </c>
      <c r="AE380" s="61">
        <f ca="1">COUNTBLANK(INDIRECT("g380"))</f>
        <v>1</v>
      </c>
      <c r="AF380" s="61">
        <f ca="1">COUNTBLANK(INDIRECT("h380"))</f>
        <v>1</v>
      </c>
      <c r="AG380" s="61">
        <f ca="1">COUNTBLANK(INDIRECT("b380"))</f>
        <v>1</v>
      </c>
    </row>
    <row r="381" spans="1:33" x14ac:dyDescent="0.25">
      <c r="A381" s="2">
        <v>49</v>
      </c>
      <c r="B381" s="63"/>
      <c r="C381" s="56"/>
      <c r="D381" s="56"/>
      <c r="E381" s="56"/>
      <c r="F381" s="56"/>
      <c r="G381" s="56"/>
      <c r="H381" s="56"/>
      <c r="I381" s="110" t="str">
        <f ca="1">IF(AND(INDIRECT("H381")&gt;=INDIRECT("F381"),AA381=0,AB381=0,AC381=0,AF381=0),"Yes",IF(AND(INDIRECT("H381")&lt;INDIRECT("F381"),AA381=0,AB381=0,AC381=0,AF381=0),"No","N/A"))</f>
        <v>N/A</v>
      </c>
      <c r="J381" s="174" t="str">
        <f t="shared" ca="1" si="18"/>
        <v>No Error</v>
      </c>
      <c r="K381" s="174"/>
      <c r="L381" s="174"/>
      <c r="AA381" s="61">
        <f ca="1">COUNTBLANK(INDIRECT("C381"))</f>
        <v>1</v>
      </c>
      <c r="AB381" s="61">
        <f ca="1">COUNTBLANK(INDIRECT("d381"))</f>
        <v>1</v>
      </c>
      <c r="AC381" s="61">
        <f ca="1">COUNTBLANK(INDIRECT("e381"))</f>
        <v>1</v>
      </c>
      <c r="AD381" s="61">
        <f ca="1">COUNTBLANK(INDIRECT("f381"))</f>
        <v>1</v>
      </c>
      <c r="AE381" s="61">
        <f ca="1">COUNTBLANK(INDIRECT("g381"))</f>
        <v>1</v>
      </c>
      <c r="AF381" s="61">
        <f ca="1">COUNTBLANK(INDIRECT("h381"))</f>
        <v>1</v>
      </c>
      <c r="AG381" s="61">
        <f ca="1">COUNTBLANK(INDIRECT("b381"))</f>
        <v>1</v>
      </c>
    </row>
    <row r="382" spans="1:33" x14ac:dyDescent="0.25">
      <c r="A382" s="2">
        <v>50</v>
      </c>
      <c r="B382" s="63"/>
      <c r="C382" s="56"/>
      <c r="D382" s="56"/>
      <c r="E382" s="56"/>
      <c r="F382" s="56"/>
      <c r="G382" s="56"/>
      <c r="H382" s="56"/>
      <c r="I382" s="110" t="str">
        <f ca="1">IF(AND(INDIRECT("H382")&gt;=INDIRECT("F382"),AA382=0,AB382=0,AC382=0,AF382=0),"Yes",IF(AND(INDIRECT("H382")&lt;INDIRECT("F382"),AA382=0,AB382=0,AC382=0,AF382=0),"No","N/A"))</f>
        <v>N/A</v>
      </c>
      <c r="J382" s="174" t="str">
        <f t="shared" ca="1" si="18"/>
        <v>No Error</v>
      </c>
      <c r="K382" s="174"/>
      <c r="L382" s="174"/>
      <c r="AA382" s="61">
        <f ca="1">COUNTBLANK(INDIRECT("C382"))</f>
        <v>1</v>
      </c>
      <c r="AB382" s="61">
        <f ca="1">COUNTBLANK(INDIRECT("d382"))</f>
        <v>1</v>
      </c>
      <c r="AC382" s="61">
        <f ca="1">COUNTBLANK(INDIRECT("e382"))</f>
        <v>1</v>
      </c>
      <c r="AD382" s="61">
        <f ca="1">COUNTBLANK(INDIRECT("f382"))</f>
        <v>1</v>
      </c>
      <c r="AE382" s="61">
        <f ca="1">COUNTBLANK(INDIRECT("g382"))</f>
        <v>1</v>
      </c>
      <c r="AF382" s="61">
        <f ca="1">COUNTBLANK(INDIRECT("h382"))</f>
        <v>1</v>
      </c>
      <c r="AG382" s="61">
        <f ca="1">COUNTBLANK(INDIRECT("b382"))</f>
        <v>1</v>
      </c>
    </row>
    <row r="383" spans="1:33" x14ac:dyDescent="0.25">
      <c r="A383" s="2">
        <v>51</v>
      </c>
      <c r="B383" s="63"/>
      <c r="C383" s="56"/>
      <c r="D383" s="56"/>
      <c r="E383" s="56"/>
      <c r="F383" s="56"/>
      <c r="G383" s="56"/>
      <c r="H383" s="56"/>
      <c r="I383" s="110" t="str">
        <f ca="1">IF(AND(INDIRECT("H383")&gt;=INDIRECT("F383"),AA383=0,AB383=0,AC383=0,AF383=0),"Yes",IF(AND(INDIRECT("H383")&lt;INDIRECT("F383"),AA383=0,AB383=0,AC383=0,AF383=0),"No","N/A"))</f>
        <v>N/A</v>
      </c>
      <c r="J383" s="174" t="str">
        <f t="shared" ca="1" si="18"/>
        <v>No Error</v>
      </c>
      <c r="K383" s="174"/>
      <c r="L383" s="174"/>
      <c r="AA383" s="61">
        <f ca="1">COUNTBLANK(INDIRECT("C383"))</f>
        <v>1</v>
      </c>
      <c r="AB383" s="61">
        <f ca="1">COUNTBLANK(INDIRECT("d383"))</f>
        <v>1</v>
      </c>
      <c r="AC383" s="61">
        <f ca="1">COUNTBLANK(INDIRECT("e383"))</f>
        <v>1</v>
      </c>
      <c r="AD383" s="61">
        <f ca="1">COUNTBLANK(INDIRECT("f383"))</f>
        <v>1</v>
      </c>
      <c r="AE383" s="61">
        <f ca="1">COUNTBLANK(INDIRECT("g383"))</f>
        <v>1</v>
      </c>
      <c r="AF383" s="61">
        <f ca="1">COUNTBLANK(INDIRECT("h383"))</f>
        <v>1</v>
      </c>
      <c r="AG383" s="61">
        <f ca="1">COUNTBLANK(INDIRECT("b383"))</f>
        <v>1</v>
      </c>
    </row>
    <row r="384" spans="1:33" x14ac:dyDescent="0.25">
      <c r="A384" s="2">
        <v>52</v>
      </c>
      <c r="B384" s="63"/>
      <c r="C384" s="56"/>
      <c r="D384" s="56"/>
      <c r="E384" s="56"/>
      <c r="F384" s="56"/>
      <c r="G384" s="56"/>
      <c r="H384" s="56"/>
      <c r="I384" s="110" t="str">
        <f ca="1">IF(AND(INDIRECT("H384")&gt;=INDIRECT("F384"),AA384=0,AB384=0,AC384=0,AF384=0),"Yes",IF(AND(INDIRECT("H384")&lt;INDIRECT("F384"),AA384=0,AB384=0,AC384=0,AF384=0),"No","N/A"))</f>
        <v>N/A</v>
      </c>
      <c r="J384" s="174" t="str">
        <f t="shared" ca="1" si="18"/>
        <v>No Error</v>
      </c>
      <c r="K384" s="174"/>
      <c r="L384" s="174"/>
      <c r="AA384" s="61">
        <f ca="1">COUNTBLANK(INDIRECT("C384"))</f>
        <v>1</v>
      </c>
      <c r="AB384" s="61">
        <f ca="1">COUNTBLANK(INDIRECT("d384"))</f>
        <v>1</v>
      </c>
      <c r="AC384" s="61">
        <f ca="1">COUNTBLANK(INDIRECT("e384"))</f>
        <v>1</v>
      </c>
      <c r="AD384" s="61">
        <f ca="1">COUNTBLANK(INDIRECT("f384"))</f>
        <v>1</v>
      </c>
      <c r="AE384" s="61">
        <f ca="1">COUNTBLANK(INDIRECT("g384"))</f>
        <v>1</v>
      </c>
      <c r="AF384" s="61">
        <f ca="1">COUNTBLANK(INDIRECT("h384"))</f>
        <v>1</v>
      </c>
      <c r="AG384" s="61">
        <f ca="1">COUNTBLANK(INDIRECT("b384"))</f>
        <v>1</v>
      </c>
    </row>
    <row r="385" spans="1:33" x14ac:dyDescent="0.25">
      <c r="A385" s="2">
        <v>53</v>
      </c>
      <c r="B385" s="63"/>
      <c r="C385" s="56"/>
      <c r="D385" s="56"/>
      <c r="E385" s="56"/>
      <c r="F385" s="56"/>
      <c r="G385" s="56"/>
      <c r="H385" s="56"/>
      <c r="I385" s="110" t="str">
        <f ca="1">IF(AND(INDIRECT("H385")&gt;=INDIRECT("F385"),AA385=0,AB385=0,AC385=0,AF385=0),"Yes",IF(AND(INDIRECT("H385")&lt;INDIRECT("F385"),AA385=0,AB385=0,AC385=0,AF385=0),"No","N/A"))</f>
        <v>N/A</v>
      </c>
      <c r="J385" s="174" t="str">
        <f t="shared" ca="1" si="18"/>
        <v>No Error</v>
      </c>
      <c r="K385" s="174"/>
      <c r="L385" s="174"/>
      <c r="AA385" s="61">
        <f ca="1">COUNTBLANK(INDIRECT("C385"))</f>
        <v>1</v>
      </c>
      <c r="AB385" s="61">
        <f ca="1">COUNTBLANK(INDIRECT("d385"))</f>
        <v>1</v>
      </c>
      <c r="AC385" s="61">
        <f ca="1">COUNTBLANK(INDIRECT("e385"))</f>
        <v>1</v>
      </c>
      <c r="AD385" s="61">
        <f ca="1">COUNTBLANK(INDIRECT("f385"))</f>
        <v>1</v>
      </c>
      <c r="AE385" s="61">
        <f ca="1">COUNTBLANK(INDIRECT("g385"))</f>
        <v>1</v>
      </c>
      <c r="AF385" s="61">
        <f ca="1">COUNTBLANK(INDIRECT("h385"))</f>
        <v>1</v>
      </c>
      <c r="AG385" s="61">
        <f ca="1">COUNTBLANK(INDIRECT("b385"))</f>
        <v>1</v>
      </c>
    </row>
    <row r="386" spans="1:33" x14ac:dyDescent="0.25">
      <c r="A386" s="2">
        <v>54</v>
      </c>
      <c r="B386" s="63"/>
      <c r="C386" s="56"/>
      <c r="D386" s="56"/>
      <c r="E386" s="56"/>
      <c r="F386" s="56"/>
      <c r="G386" s="56"/>
      <c r="H386" s="56"/>
      <c r="I386" s="110" t="str">
        <f ca="1">IF(AND(INDIRECT("H386")&gt;=INDIRECT("F386"),AA386=0,AB386=0,AC386=0,AF386=0),"Yes",IF(AND(INDIRECT("H386")&lt;INDIRECT("F386"),AA386=0,AB386=0,AC386=0,AF386=0),"No","N/A"))</f>
        <v>N/A</v>
      </c>
      <c r="J386" s="174" t="str">
        <f t="shared" ca="1" si="18"/>
        <v>No Error</v>
      </c>
      <c r="K386" s="174"/>
      <c r="L386" s="174"/>
      <c r="AA386" s="61">
        <f ca="1">COUNTBLANK(INDIRECT("C386"))</f>
        <v>1</v>
      </c>
      <c r="AB386" s="61">
        <f ca="1">COUNTBLANK(INDIRECT("d386"))</f>
        <v>1</v>
      </c>
      <c r="AC386" s="61">
        <f ca="1">COUNTBLANK(INDIRECT("e386"))</f>
        <v>1</v>
      </c>
      <c r="AD386" s="61">
        <f ca="1">COUNTBLANK(INDIRECT("f386"))</f>
        <v>1</v>
      </c>
      <c r="AE386" s="61">
        <f ca="1">COUNTBLANK(INDIRECT("g386"))</f>
        <v>1</v>
      </c>
      <c r="AF386" s="61">
        <f ca="1">COUNTBLANK(INDIRECT("h386"))</f>
        <v>1</v>
      </c>
      <c r="AG386" s="61">
        <f ca="1">COUNTBLANK(INDIRECT("b386"))</f>
        <v>1</v>
      </c>
    </row>
    <row r="387" spans="1:33" x14ac:dyDescent="0.25">
      <c r="A387" s="2">
        <v>55</v>
      </c>
      <c r="B387" s="63"/>
      <c r="C387" s="56"/>
      <c r="D387" s="56"/>
      <c r="E387" s="56"/>
      <c r="F387" s="56"/>
      <c r="G387" s="56"/>
      <c r="H387" s="56"/>
      <c r="I387" s="110" t="str">
        <f ca="1">IF(AND(INDIRECT("H387")&gt;=INDIRECT("F387"),AA387=0,AB387=0,AC387=0,AF387=0),"Yes",IF(AND(INDIRECT("H387")&lt;INDIRECT("F387"),AA387=0,AB387=0,AC387=0,AF387=0),"No","N/A"))</f>
        <v>N/A</v>
      </c>
      <c r="J387" s="174" t="str">
        <f t="shared" ca="1" si="18"/>
        <v>No Error</v>
      </c>
      <c r="K387" s="174"/>
      <c r="L387" s="174"/>
      <c r="AA387" s="61">
        <f ca="1">COUNTBLANK(INDIRECT("C387"))</f>
        <v>1</v>
      </c>
      <c r="AB387" s="61">
        <f ca="1">COUNTBLANK(INDIRECT("d387"))</f>
        <v>1</v>
      </c>
      <c r="AC387" s="61">
        <f ca="1">COUNTBLANK(INDIRECT("e387"))</f>
        <v>1</v>
      </c>
      <c r="AD387" s="61">
        <f ca="1">COUNTBLANK(INDIRECT("f387"))</f>
        <v>1</v>
      </c>
      <c r="AE387" s="61">
        <f ca="1">COUNTBLANK(INDIRECT("g387"))</f>
        <v>1</v>
      </c>
      <c r="AF387" s="61">
        <f ca="1">COUNTBLANK(INDIRECT("h387"))</f>
        <v>1</v>
      </c>
      <c r="AG387" s="61">
        <f ca="1">COUNTBLANK(INDIRECT("b387"))</f>
        <v>1</v>
      </c>
    </row>
    <row r="388" spans="1:33" x14ac:dyDescent="0.25">
      <c r="A388" s="2">
        <v>56</v>
      </c>
      <c r="B388" s="63"/>
      <c r="C388" s="56"/>
      <c r="D388" s="56"/>
      <c r="E388" s="56"/>
      <c r="F388" s="56"/>
      <c r="G388" s="56"/>
      <c r="H388" s="56"/>
      <c r="I388" s="110" t="str">
        <f ca="1">IF(AND(INDIRECT("H388")&gt;=INDIRECT("F388"),AA388=0,AB388=0,AC388=0,AF388=0),"Yes",IF(AND(INDIRECT("H388")&lt;INDIRECT("F388"),AA388=0,AB388=0,AC388=0,AF388=0),"No","N/A"))</f>
        <v>N/A</v>
      </c>
      <c r="J388" s="174" t="str">
        <f t="shared" ca="1" si="18"/>
        <v>No Error</v>
      </c>
      <c r="K388" s="174"/>
      <c r="L388" s="174"/>
      <c r="AA388" s="61">
        <f ca="1">COUNTBLANK(INDIRECT("C388"))</f>
        <v>1</v>
      </c>
      <c r="AB388" s="61">
        <f ca="1">COUNTBLANK(INDIRECT("d388"))</f>
        <v>1</v>
      </c>
      <c r="AC388" s="61">
        <f ca="1">COUNTBLANK(INDIRECT("e388"))</f>
        <v>1</v>
      </c>
      <c r="AD388" s="61">
        <f ca="1">COUNTBLANK(INDIRECT("f388"))</f>
        <v>1</v>
      </c>
      <c r="AE388" s="61">
        <f ca="1">COUNTBLANK(INDIRECT("g388"))</f>
        <v>1</v>
      </c>
      <c r="AF388" s="61">
        <f ca="1">COUNTBLANK(INDIRECT("h388"))</f>
        <v>1</v>
      </c>
      <c r="AG388" s="61">
        <f ca="1">COUNTBLANK(INDIRECT("b388"))</f>
        <v>1</v>
      </c>
    </row>
    <row r="389" spans="1:33" x14ac:dyDescent="0.25">
      <c r="A389" s="2">
        <v>57</v>
      </c>
      <c r="B389" s="63"/>
      <c r="C389" s="56"/>
      <c r="D389" s="56"/>
      <c r="E389" s="56"/>
      <c r="F389" s="56"/>
      <c r="G389" s="56"/>
      <c r="H389" s="56"/>
      <c r="I389" s="110" t="str">
        <f ca="1">IF(AND(INDIRECT("H389")&gt;=INDIRECT("F389"),AA389=0,AB389=0,AC389=0,AF389=0),"Yes",IF(AND(INDIRECT("H389")&lt;INDIRECT("F389"),AA389=0,AB389=0,AC389=0,AF389=0),"No","N/A"))</f>
        <v>N/A</v>
      </c>
      <c r="J389" s="174" t="str">
        <f t="shared" ca="1" si="18"/>
        <v>No Error</v>
      </c>
      <c r="K389" s="174"/>
      <c r="L389" s="174"/>
      <c r="AA389" s="61">
        <f ca="1">COUNTBLANK(INDIRECT("C389"))</f>
        <v>1</v>
      </c>
      <c r="AB389" s="61">
        <f ca="1">COUNTBLANK(INDIRECT("d389"))</f>
        <v>1</v>
      </c>
      <c r="AC389" s="61">
        <f ca="1">COUNTBLANK(INDIRECT("e389"))</f>
        <v>1</v>
      </c>
      <c r="AD389" s="61">
        <f ca="1">COUNTBLANK(INDIRECT("f389"))</f>
        <v>1</v>
      </c>
      <c r="AE389" s="61">
        <f ca="1">COUNTBLANK(INDIRECT("g389"))</f>
        <v>1</v>
      </c>
      <c r="AF389" s="61">
        <f ca="1">COUNTBLANK(INDIRECT("h389"))</f>
        <v>1</v>
      </c>
      <c r="AG389" s="61">
        <f ca="1">COUNTBLANK(INDIRECT("b389"))</f>
        <v>1</v>
      </c>
    </row>
    <row r="390" spans="1:33" x14ac:dyDescent="0.25">
      <c r="A390" s="2">
        <v>58</v>
      </c>
      <c r="B390" s="63"/>
      <c r="C390" s="56"/>
      <c r="D390" s="56"/>
      <c r="E390" s="56"/>
      <c r="F390" s="56"/>
      <c r="G390" s="56"/>
      <c r="H390" s="56"/>
      <c r="I390" s="110" t="str">
        <f ca="1">IF(AND(INDIRECT("H390")&gt;=INDIRECT("F390"),AA390=0,AB390=0,AC390=0,AF390=0),"Yes",IF(AND(INDIRECT("H390")&lt;INDIRECT("F390"),AA390=0,AB390=0,AC390=0,AF390=0),"No","N/A"))</f>
        <v>N/A</v>
      </c>
      <c r="J390" s="174" t="str">
        <f t="shared" ca="1" si="18"/>
        <v>No Error</v>
      </c>
      <c r="K390" s="174"/>
      <c r="L390" s="174"/>
      <c r="AA390" s="61">
        <f ca="1">COUNTBLANK(INDIRECT("C390"))</f>
        <v>1</v>
      </c>
      <c r="AB390" s="61">
        <f ca="1">COUNTBLANK(INDIRECT("d390"))</f>
        <v>1</v>
      </c>
      <c r="AC390" s="61">
        <f ca="1">COUNTBLANK(INDIRECT("e390"))</f>
        <v>1</v>
      </c>
      <c r="AD390" s="61">
        <f ca="1">COUNTBLANK(INDIRECT("f390"))</f>
        <v>1</v>
      </c>
      <c r="AE390" s="61">
        <f ca="1">COUNTBLANK(INDIRECT("g390"))</f>
        <v>1</v>
      </c>
      <c r="AF390" s="61">
        <f ca="1">COUNTBLANK(INDIRECT("h390"))</f>
        <v>1</v>
      </c>
      <c r="AG390" s="61">
        <f ca="1">COUNTBLANK(INDIRECT("b390"))</f>
        <v>1</v>
      </c>
    </row>
    <row r="391" spans="1:33" x14ac:dyDescent="0.25">
      <c r="A391" s="2">
        <v>59</v>
      </c>
      <c r="B391" s="63"/>
      <c r="C391" s="56"/>
      <c r="D391" s="56"/>
      <c r="E391" s="56"/>
      <c r="F391" s="56"/>
      <c r="G391" s="56"/>
      <c r="H391" s="56"/>
      <c r="I391" s="110" t="str">
        <f ca="1">IF(AND(INDIRECT("H391")&gt;=INDIRECT("F391"),AA391=0,AB391=0,AC391=0,AF391=0),"Yes",IF(AND(INDIRECT("H391")&lt;INDIRECT("F391"),AA391=0,AB391=0,AC391=0,AF391=0),"No","N/A"))</f>
        <v>N/A</v>
      </c>
      <c r="J391" s="174" t="str">
        <f t="shared" ca="1" si="18"/>
        <v>No Error</v>
      </c>
      <c r="K391" s="174"/>
      <c r="L391" s="174"/>
      <c r="AA391" s="61">
        <f ca="1">COUNTBLANK(INDIRECT("C391"))</f>
        <v>1</v>
      </c>
      <c r="AB391" s="61">
        <f ca="1">COUNTBLANK(INDIRECT("d391"))</f>
        <v>1</v>
      </c>
      <c r="AC391" s="61">
        <f ca="1">COUNTBLANK(INDIRECT("e391"))</f>
        <v>1</v>
      </c>
      <c r="AD391" s="61">
        <f ca="1">COUNTBLANK(INDIRECT("f391"))</f>
        <v>1</v>
      </c>
      <c r="AE391" s="61">
        <f ca="1">COUNTBLANK(INDIRECT("g391"))</f>
        <v>1</v>
      </c>
      <c r="AF391" s="61">
        <f ca="1">COUNTBLANK(INDIRECT("h391"))</f>
        <v>1</v>
      </c>
      <c r="AG391" s="61">
        <f ca="1">COUNTBLANK(INDIRECT("b391"))</f>
        <v>1</v>
      </c>
    </row>
    <row r="392" spans="1:33" x14ac:dyDescent="0.25">
      <c r="A392" s="2">
        <v>60</v>
      </c>
      <c r="B392" s="63"/>
      <c r="C392" s="56"/>
      <c r="D392" s="56"/>
      <c r="E392" s="56"/>
      <c r="F392" s="56"/>
      <c r="G392" s="56"/>
      <c r="H392" s="56"/>
      <c r="I392" s="110" t="str">
        <f ca="1">IF(AND(INDIRECT("H392")&gt;=INDIRECT("F392"),AA392=0,AB392=0,AC392=0,AF392=0),"Yes",IF(AND(INDIRECT("H392")&lt;INDIRECT("F392"),AA392=0,AB392=0,AC392=0,AF392=0),"No","N/A"))</f>
        <v>N/A</v>
      </c>
      <c r="J392" s="174" t="str">
        <f t="shared" ca="1" si="18"/>
        <v>No Error</v>
      </c>
      <c r="K392" s="174"/>
      <c r="L392" s="174"/>
      <c r="AA392" s="61">
        <f ca="1">COUNTBLANK(INDIRECT("C392"))</f>
        <v>1</v>
      </c>
      <c r="AB392" s="61">
        <f ca="1">COUNTBLANK(INDIRECT("d392"))</f>
        <v>1</v>
      </c>
      <c r="AC392" s="61">
        <f ca="1">COUNTBLANK(INDIRECT("e392"))</f>
        <v>1</v>
      </c>
      <c r="AD392" s="61">
        <f ca="1">COUNTBLANK(INDIRECT("f392"))</f>
        <v>1</v>
      </c>
      <c r="AE392" s="61">
        <f ca="1">COUNTBLANK(INDIRECT("g392"))</f>
        <v>1</v>
      </c>
      <c r="AF392" s="61">
        <f ca="1">COUNTBLANK(INDIRECT("h392"))</f>
        <v>1</v>
      </c>
      <c r="AG392" s="61">
        <f ca="1">COUNTBLANK(INDIRECT("b392"))</f>
        <v>1</v>
      </c>
    </row>
    <row r="393" spans="1:33" x14ac:dyDescent="0.25">
      <c r="A393" s="2">
        <v>61</v>
      </c>
      <c r="B393" s="63"/>
      <c r="C393" s="56"/>
      <c r="D393" s="56"/>
      <c r="E393" s="56"/>
      <c r="F393" s="56"/>
      <c r="G393" s="56"/>
      <c r="H393" s="56"/>
      <c r="I393" s="110" t="str">
        <f ca="1">IF(AND(INDIRECT("H393")&gt;=INDIRECT("F393"),AA393=0,AB393=0,AC393=0,AF393=0),"Yes",IF(AND(INDIRECT("H393")&lt;INDIRECT("F393"),AA393=0,AB393=0,AC393=0,AF393=0),"No","N/A"))</f>
        <v>N/A</v>
      </c>
      <c r="J393" s="174" t="str">
        <f t="shared" ca="1" si="18"/>
        <v>No Error</v>
      </c>
      <c r="K393" s="174"/>
      <c r="L393" s="174"/>
      <c r="AA393" s="61">
        <f ca="1">COUNTBLANK(INDIRECT("C393"))</f>
        <v>1</v>
      </c>
      <c r="AB393" s="61">
        <f ca="1">COUNTBLANK(INDIRECT("d393"))</f>
        <v>1</v>
      </c>
      <c r="AC393" s="61">
        <f ca="1">COUNTBLANK(INDIRECT("e393"))</f>
        <v>1</v>
      </c>
      <c r="AD393" s="61">
        <f ca="1">COUNTBLANK(INDIRECT("f393"))</f>
        <v>1</v>
      </c>
      <c r="AE393" s="61">
        <f ca="1">COUNTBLANK(INDIRECT("g393"))</f>
        <v>1</v>
      </c>
      <c r="AF393" s="61">
        <f ca="1">COUNTBLANK(INDIRECT("h393"))</f>
        <v>1</v>
      </c>
      <c r="AG393" s="61">
        <f ca="1">COUNTBLANK(INDIRECT("b393"))</f>
        <v>1</v>
      </c>
    </row>
    <row r="394" spans="1:33" x14ac:dyDescent="0.25">
      <c r="A394" s="2">
        <v>62</v>
      </c>
      <c r="B394" s="63"/>
      <c r="C394" s="56"/>
      <c r="D394" s="56"/>
      <c r="E394" s="56"/>
      <c r="F394" s="56"/>
      <c r="G394" s="56"/>
      <c r="H394" s="56"/>
      <c r="I394" s="110" t="str">
        <f ca="1">IF(AND(INDIRECT("H394")&gt;=INDIRECT("F394"),AA394=0,AB394=0,AC394=0,AF394=0),"Yes",IF(AND(INDIRECT("H394")&lt;INDIRECT("F394"),AA394=0,AB394=0,AC394=0,AF394=0),"No","N/A"))</f>
        <v>N/A</v>
      </c>
      <c r="J394" s="174" t="str">
        <f t="shared" ca="1" si="18"/>
        <v>No Error</v>
      </c>
      <c r="K394" s="174"/>
      <c r="L394" s="174"/>
      <c r="AA394" s="61">
        <f ca="1">COUNTBLANK(INDIRECT("C394"))</f>
        <v>1</v>
      </c>
      <c r="AB394" s="61">
        <f ca="1">COUNTBLANK(INDIRECT("d394"))</f>
        <v>1</v>
      </c>
      <c r="AC394" s="61">
        <f ca="1">COUNTBLANK(INDIRECT("e394"))</f>
        <v>1</v>
      </c>
      <c r="AD394" s="61">
        <f ca="1">COUNTBLANK(INDIRECT("f394"))</f>
        <v>1</v>
      </c>
      <c r="AE394" s="61">
        <f ca="1">COUNTBLANK(INDIRECT("g394"))</f>
        <v>1</v>
      </c>
      <c r="AF394" s="61">
        <f ca="1">COUNTBLANK(INDIRECT("h394"))</f>
        <v>1</v>
      </c>
      <c r="AG394" s="61">
        <f ca="1">COUNTBLANK(INDIRECT("b394"))</f>
        <v>1</v>
      </c>
    </row>
    <row r="395" spans="1:33" x14ac:dyDescent="0.25">
      <c r="A395" s="2">
        <v>63</v>
      </c>
      <c r="B395" s="63"/>
      <c r="C395" s="56"/>
      <c r="D395" s="56"/>
      <c r="E395" s="56"/>
      <c r="F395" s="56"/>
      <c r="G395" s="56"/>
      <c r="H395" s="56"/>
      <c r="I395" s="110" t="str">
        <f ca="1">IF(AND(INDIRECT("H395")&gt;=INDIRECT("F395"),AA395=0,AB395=0,AC395=0,AF395=0),"Yes",IF(AND(INDIRECT("H395")&lt;INDIRECT("F395"),AA395=0,AB395=0,AC395=0,AF395=0),"No","N/A"))</f>
        <v>N/A</v>
      </c>
      <c r="J395" s="174" t="str">
        <f t="shared" ca="1" si="18"/>
        <v>No Error</v>
      </c>
      <c r="K395" s="174"/>
      <c r="L395" s="174"/>
      <c r="AA395" s="61">
        <f ca="1">COUNTBLANK(INDIRECT("C395"))</f>
        <v>1</v>
      </c>
      <c r="AB395" s="61">
        <f ca="1">COUNTBLANK(INDIRECT("d395"))</f>
        <v>1</v>
      </c>
      <c r="AC395" s="61">
        <f ca="1">COUNTBLANK(INDIRECT("e395"))</f>
        <v>1</v>
      </c>
      <c r="AD395" s="61">
        <f ca="1">COUNTBLANK(INDIRECT("f395"))</f>
        <v>1</v>
      </c>
      <c r="AE395" s="61">
        <f ca="1">COUNTBLANK(INDIRECT("g395"))</f>
        <v>1</v>
      </c>
      <c r="AF395" s="61">
        <f ca="1">COUNTBLANK(INDIRECT("h395"))</f>
        <v>1</v>
      </c>
      <c r="AG395" s="61">
        <f ca="1">COUNTBLANK(INDIRECT("b395"))</f>
        <v>1</v>
      </c>
    </row>
    <row r="396" spans="1:33" x14ac:dyDescent="0.25">
      <c r="A396" s="2">
        <v>64</v>
      </c>
      <c r="B396" s="63"/>
      <c r="C396" s="56"/>
      <c r="D396" s="56"/>
      <c r="E396" s="56"/>
      <c r="F396" s="56"/>
      <c r="G396" s="56"/>
      <c r="H396" s="56"/>
      <c r="I396" s="110" t="str">
        <f ca="1">IF(AND(INDIRECT("H396")&gt;=INDIRECT("F396"),AA396=0,AB396=0,AC396=0,AF396=0),"Yes",IF(AND(INDIRECT("H396")&lt;INDIRECT("F396"),AA396=0,AB396=0,AC396=0,AF396=0),"No","N/A"))</f>
        <v>N/A</v>
      </c>
      <c r="J396" s="174" t="str">
        <f t="shared" ca="1" si="18"/>
        <v>No Error</v>
      </c>
      <c r="K396" s="174"/>
      <c r="L396" s="174"/>
      <c r="AA396" s="61">
        <f ca="1">COUNTBLANK(INDIRECT("C396"))</f>
        <v>1</v>
      </c>
      <c r="AB396" s="61">
        <f ca="1">COUNTBLANK(INDIRECT("d396"))</f>
        <v>1</v>
      </c>
      <c r="AC396" s="61">
        <f ca="1">COUNTBLANK(INDIRECT("e396"))</f>
        <v>1</v>
      </c>
      <c r="AD396" s="61">
        <f ca="1">COUNTBLANK(INDIRECT("f396"))</f>
        <v>1</v>
      </c>
      <c r="AE396" s="61">
        <f ca="1">COUNTBLANK(INDIRECT("g396"))</f>
        <v>1</v>
      </c>
      <c r="AF396" s="61">
        <f ca="1">COUNTBLANK(INDIRECT("h396"))</f>
        <v>1</v>
      </c>
      <c r="AG396" s="61">
        <f ca="1">COUNTBLANK(INDIRECT("b396"))</f>
        <v>1</v>
      </c>
    </row>
    <row r="397" spans="1:33" x14ac:dyDescent="0.25">
      <c r="A397" s="2">
        <v>65</v>
      </c>
      <c r="B397" s="63"/>
      <c r="C397" s="56"/>
      <c r="D397" s="56"/>
      <c r="E397" s="56"/>
      <c r="F397" s="56"/>
      <c r="G397" s="56"/>
      <c r="H397" s="56"/>
      <c r="I397" s="110" t="str">
        <f ca="1">IF(AND(INDIRECT("H397")&gt;=INDIRECT("F397"),AA397=0,AB397=0,AC397=0,AF397=0),"Yes",IF(AND(INDIRECT("H397")&lt;INDIRECT("F397"),AA397=0,AB397=0,AC397=0,AF397=0),"No","N/A"))</f>
        <v>N/A</v>
      </c>
      <c r="J397" s="174" t="str">
        <f t="shared" ca="1" si="18"/>
        <v>No Error</v>
      </c>
      <c r="K397" s="174"/>
      <c r="L397" s="174"/>
      <c r="AA397" s="61">
        <f ca="1">COUNTBLANK(INDIRECT("C397"))</f>
        <v>1</v>
      </c>
      <c r="AB397" s="61">
        <f ca="1">COUNTBLANK(INDIRECT("d397"))</f>
        <v>1</v>
      </c>
      <c r="AC397" s="61">
        <f ca="1">COUNTBLANK(INDIRECT("e397"))</f>
        <v>1</v>
      </c>
      <c r="AD397" s="61">
        <f ca="1">COUNTBLANK(INDIRECT("f397"))</f>
        <v>1</v>
      </c>
      <c r="AE397" s="61">
        <f ca="1">COUNTBLANK(INDIRECT("g397"))</f>
        <v>1</v>
      </c>
      <c r="AF397" s="61">
        <f ca="1">COUNTBLANK(INDIRECT("h397"))</f>
        <v>1</v>
      </c>
      <c r="AG397" s="61">
        <f ca="1">COUNTBLANK(INDIRECT("b397"))</f>
        <v>1</v>
      </c>
    </row>
    <row r="398" spans="1:33" x14ac:dyDescent="0.25">
      <c r="A398" s="2">
        <v>66</v>
      </c>
      <c r="B398" s="63"/>
      <c r="C398" s="56"/>
      <c r="D398" s="56"/>
      <c r="E398" s="56"/>
      <c r="F398" s="56"/>
      <c r="G398" s="56"/>
      <c r="H398" s="56"/>
      <c r="I398" s="110" t="str">
        <f ca="1">IF(AND(INDIRECT("H398")&gt;=INDIRECT("F398"),AA398=0,AB398=0,AC398=0,AF398=0),"Yes",IF(AND(INDIRECT("H398")&lt;INDIRECT("F398"),AA398=0,AB398=0,AC398=0,AF398=0),"No","N/A"))</f>
        <v>N/A</v>
      </c>
      <c r="J398" s="174" t="str">
        <f t="shared" ca="1" si="18"/>
        <v>No Error</v>
      </c>
      <c r="K398" s="174"/>
      <c r="L398" s="174"/>
      <c r="AA398" s="61">
        <f ca="1">COUNTBLANK(INDIRECT("C398"))</f>
        <v>1</v>
      </c>
      <c r="AB398" s="61">
        <f ca="1">COUNTBLANK(INDIRECT("d398"))</f>
        <v>1</v>
      </c>
      <c r="AC398" s="61">
        <f ca="1">COUNTBLANK(INDIRECT("e398"))</f>
        <v>1</v>
      </c>
      <c r="AD398" s="61">
        <f ca="1">COUNTBLANK(INDIRECT("f398"))</f>
        <v>1</v>
      </c>
      <c r="AE398" s="61">
        <f ca="1">COUNTBLANK(INDIRECT("g398"))</f>
        <v>1</v>
      </c>
      <c r="AF398" s="61">
        <f ca="1">COUNTBLANK(INDIRECT("h398"))</f>
        <v>1</v>
      </c>
      <c r="AG398" s="61">
        <f ca="1">COUNTBLANK(INDIRECT("b398"))</f>
        <v>1</v>
      </c>
    </row>
    <row r="399" spans="1:33" x14ac:dyDescent="0.25">
      <c r="A399" s="2">
        <v>67</v>
      </c>
      <c r="B399" s="63"/>
      <c r="C399" s="56"/>
      <c r="D399" s="56"/>
      <c r="E399" s="56"/>
      <c r="F399" s="56"/>
      <c r="G399" s="56"/>
      <c r="H399" s="56"/>
      <c r="I399" s="110" t="str">
        <f ca="1">IF(AND(INDIRECT("H399")&gt;=INDIRECT("F399"),AA399=0,AB399=0,AC399=0,AF399=0),"Yes",IF(AND(INDIRECT("H399")&lt;INDIRECT("F399"),AA399=0,AB399=0,AC399=0,AF399=0),"No","N/A"))</f>
        <v>N/A</v>
      </c>
      <c r="J399" s="174" t="str">
        <f t="shared" ca="1" si="18"/>
        <v>No Error</v>
      </c>
      <c r="K399" s="174"/>
      <c r="L399" s="174"/>
      <c r="AA399" s="61">
        <f ca="1">COUNTBLANK(INDIRECT("C399"))</f>
        <v>1</v>
      </c>
      <c r="AB399" s="61">
        <f ca="1">COUNTBLANK(INDIRECT("d399"))</f>
        <v>1</v>
      </c>
      <c r="AC399" s="61">
        <f ca="1">COUNTBLANK(INDIRECT("e399"))</f>
        <v>1</v>
      </c>
      <c r="AD399" s="61">
        <f ca="1">COUNTBLANK(INDIRECT("f399"))</f>
        <v>1</v>
      </c>
      <c r="AE399" s="61">
        <f ca="1">COUNTBLANK(INDIRECT("g399"))</f>
        <v>1</v>
      </c>
      <c r="AF399" s="61">
        <f ca="1">COUNTBLANK(INDIRECT("h399"))</f>
        <v>1</v>
      </c>
      <c r="AG399" s="61">
        <f ca="1">COUNTBLANK(INDIRECT("b399"))</f>
        <v>1</v>
      </c>
    </row>
    <row r="400" spans="1:33" x14ac:dyDescent="0.25">
      <c r="A400" s="2">
        <v>68</v>
      </c>
      <c r="B400" s="63"/>
      <c r="C400" s="56"/>
      <c r="D400" s="56"/>
      <c r="E400" s="56"/>
      <c r="F400" s="56"/>
      <c r="G400" s="56"/>
      <c r="H400" s="56"/>
      <c r="I400" s="110" t="str">
        <f ca="1">IF(AND(INDIRECT("H400")&gt;=INDIRECT("F400"),AA400=0,AB400=0,AC400=0,AF400=0),"Yes",IF(AND(INDIRECT("H400")&lt;INDIRECT("F400"),AA400=0,AB400=0,AC400=0,AF400=0),"No","N/A"))</f>
        <v>N/A</v>
      </c>
      <c r="J400" s="174" t="str">
        <f t="shared" ca="1" si="18"/>
        <v>No Error</v>
      </c>
      <c r="K400" s="174"/>
      <c r="L400" s="174"/>
      <c r="AA400" s="61">
        <f ca="1">COUNTBLANK(INDIRECT("C400"))</f>
        <v>1</v>
      </c>
      <c r="AB400" s="61">
        <f ca="1">COUNTBLANK(INDIRECT("d400"))</f>
        <v>1</v>
      </c>
      <c r="AC400" s="61">
        <f ca="1">COUNTBLANK(INDIRECT("e400"))</f>
        <v>1</v>
      </c>
      <c r="AD400" s="61">
        <f ca="1">COUNTBLANK(INDIRECT("f400"))</f>
        <v>1</v>
      </c>
      <c r="AE400" s="61">
        <f ca="1">COUNTBLANK(INDIRECT("g400"))</f>
        <v>1</v>
      </c>
      <c r="AF400" s="61">
        <f ca="1">COUNTBLANK(INDIRECT("h400"))</f>
        <v>1</v>
      </c>
      <c r="AG400" s="61">
        <f ca="1">COUNTBLANK(INDIRECT("b400"))</f>
        <v>1</v>
      </c>
    </row>
    <row r="401" spans="1:33" x14ac:dyDescent="0.25">
      <c r="A401" s="2">
        <v>69</v>
      </c>
      <c r="B401" s="63"/>
      <c r="C401" s="56"/>
      <c r="D401" s="56"/>
      <c r="E401" s="56"/>
      <c r="F401" s="56"/>
      <c r="G401" s="56"/>
      <c r="H401" s="56"/>
      <c r="I401" s="110" t="str">
        <f ca="1">IF(AND(INDIRECT("H401")&gt;=INDIRECT("F401"),AA401=0,AB401=0,AC401=0,AF401=0),"Yes",IF(AND(INDIRECT("H401")&lt;INDIRECT("F401"),AA401=0,AB401=0,AC401=0,AF401=0),"No","N/A"))</f>
        <v>N/A</v>
      </c>
      <c r="J401" s="174" t="str">
        <f t="shared" ca="1" si="18"/>
        <v>No Error</v>
      </c>
      <c r="K401" s="174"/>
      <c r="L401" s="174"/>
      <c r="AA401" s="61">
        <f ca="1">COUNTBLANK(INDIRECT("C401"))</f>
        <v>1</v>
      </c>
      <c r="AB401" s="61">
        <f ca="1">COUNTBLANK(INDIRECT("d401"))</f>
        <v>1</v>
      </c>
      <c r="AC401" s="61">
        <f ca="1">COUNTBLANK(INDIRECT("e401"))</f>
        <v>1</v>
      </c>
      <c r="AD401" s="61">
        <f ca="1">COUNTBLANK(INDIRECT("f401"))</f>
        <v>1</v>
      </c>
      <c r="AE401" s="61">
        <f ca="1">COUNTBLANK(INDIRECT("g401"))</f>
        <v>1</v>
      </c>
      <c r="AF401" s="61">
        <f ca="1">COUNTBLANK(INDIRECT("h401"))</f>
        <v>1</v>
      </c>
      <c r="AG401" s="61">
        <f ca="1">COUNTBLANK(INDIRECT("b401"))</f>
        <v>1</v>
      </c>
    </row>
    <row r="402" spans="1:33" x14ac:dyDescent="0.25">
      <c r="A402" s="2">
        <v>70</v>
      </c>
      <c r="B402" s="63"/>
      <c r="C402" s="56"/>
      <c r="D402" s="56"/>
      <c r="E402" s="56"/>
      <c r="F402" s="56"/>
      <c r="G402" s="56"/>
      <c r="H402" s="56"/>
      <c r="I402" s="110" t="str">
        <f ca="1">IF(AND(INDIRECT("H402")&gt;=INDIRECT("F402"),AA402=0,AB402=0,AC402=0,AF402=0),"Yes",IF(AND(INDIRECT("H402")&lt;INDIRECT("F402"),AA402=0,AB402=0,AC402=0,AF402=0),"No","N/A"))</f>
        <v>N/A</v>
      </c>
      <c r="J402" s="174" t="str">
        <f t="shared" ca="1" si="18"/>
        <v>No Error</v>
      </c>
      <c r="K402" s="174"/>
      <c r="L402" s="174"/>
      <c r="AA402" s="61">
        <f ca="1">COUNTBLANK(INDIRECT("C402"))</f>
        <v>1</v>
      </c>
      <c r="AB402" s="61">
        <f ca="1">COUNTBLANK(INDIRECT("d402"))</f>
        <v>1</v>
      </c>
      <c r="AC402" s="61">
        <f ca="1">COUNTBLANK(INDIRECT("e402"))</f>
        <v>1</v>
      </c>
      <c r="AD402" s="61">
        <f ca="1">COUNTBLANK(INDIRECT("f402"))</f>
        <v>1</v>
      </c>
      <c r="AE402" s="61">
        <f ca="1">COUNTBLANK(INDIRECT("g402"))</f>
        <v>1</v>
      </c>
      <c r="AF402" s="61">
        <f ca="1">COUNTBLANK(INDIRECT("h402"))</f>
        <v>1</v>
      </c>
      <c r="AG402" s="61">
        <f ca="1">COUNTBLANK(INDIRECT("b402"))</f>
        <v>1</v>
      </c>
    </row>
    <row r="403" spans="1:33" x14ac:dyDescent="0.25">
      <c r="A403" s="2">
        <v>71</v>
      </c>
      <c r="B403" s="63"/>
      <c r="C403" s="56"/>
      <c r="D403" s="56"/>
      <c r="E403" s="56"/>
      <c r="F403" s="56"/>
      <c r="G403" s="56"/>
      <c r="H403" s="56"/>
      <c r="I403" s="110" t="str">
        <f ca="1">IF(AND(INDIRECT("H403")&gt;=INDIRECT("F403"),AA403=0,AB403=0,AC403=0,AF403=0),"Yes",IF(AND(INDIRECT("H403")&lt;INDIRECT("F403"),AA403=0,AB403=0,AC403=0,AF403=0),"No","N/A"))</f>
        <v>N/A</v>
      </c>
      <c r="J403" s="174" t="str">
        <f t="shared" ca="1" si="18"/>
        <v>No Error</v>
      </c>
      <c r="K403" s="174"/>
      <c r="L403" s="174"/>
      <c r="AA403" s="61">
        <f ca="1">COUNTBLANK(INDIRECT("C403"))</f>
        <v>1</v>
      </c>
      <c r="AB403" s="61">
        <f ca="1">COUNTBLANK(INDIRECT("d403"))</f>
        <v>1</v>
      </c>
      <c r="AC403" s="61">
        <f ca="1">COUNTBLANK(INDIRECT("e403"))</f>
        <v>1</v>
      </c>
      <c r="AD403" s="61">
        <f ca="1">COUNTBLANK(INDIRECT("f403"))</f>
        <v>1</v>
      </c>
      <c r="AE403" s="61">
        <f ca="1">COUNTBLANK(INDIRECT("g403"))</f>
        <v>1</v>
      </c>
      <c r="AF403" s="61">
        <f ca="1">COUNTBLANK(INDIRECT("h403"))</f>
        <v>1</v>
      </c>
      <c r="AG403" s="61">
        <f ca="1">COUNTBLANK(INDIRECT("b403"))</f>
        <v>1</v>
      </c>
    </row>
    <row r="404" spans="1:33" x14ac:dyDescent="0.25">
      <c r="A404" s="2">
        <v>72</v>
      </c>
      <c r="B404" s="63"/>
      <c r="C404" s="56"/>
      <c r="D404" s="56"/>
      <c r="E404" s="56"/>
      <c r="F404" s="56"/>
      <c r="G404" s="56"/>
      <c r="H404" s="56"/>
      <c r="I404" s="110" t="str">
        <f ca="1">IF(AND(INDIRECT("H404")&gt;=INDIRECT("F404"),AA404=0,AB404=0,AC404=0,AF404=0),"Yes",IF(AND(INDIRECT("H404")&lt;INDIRECT("F404"),AA404=0,AB404=0,AC404=0,AF404=0),"No","N/A"))</f>
        <v>N/A</v>
      </c>
      <c r="J404" s="174" t="str">
        <f t="shared" ca="1" si="18"/>
        <v>No Error</v>
      </c>
      <c r="K404" s="174"/>
      <c r="L404" s="174"/>
      <c r="AA404" s="61">
        <f ca="1">COUNTBLANK(INDIRECT("C404"))</f>
        <v>1</v>
      </c>
      <c r="AB404" s="61">
        <f ca="1">COUNTBLANK(INDIRECT("d404"))</f>
        <v>1</v>
      </c>
      <c r="AC404" s="61">
        <f ca="1">COUNTBLANK(INDIRECT("e404"))</f>
        <v>1</v>
      </c>
      <c r="AD404" s="61">
        <f ca="1">COUNTBLANK(INDIRECT("f404"))</f>
        <v>1</v>
      </c>
      <c r="AE404" s="61">
        <f ca="1">COUNTBLANK(INDIRECT("g404"))</f>
        <v>1</v>
      </c>
      <c r="AF404" s="61">
        <f ca="1">COUNTBLANK(INDIRECT("h404"))</f>
        <v>1</v>
      </c>
      <c r="AG404" s="61">
        <f ca="1">COUNTBLANK(INDIRECT("b404"))</f>
        <v>1</v>
      </c>
    </row>
    <row r="405" spans="1:33" x14ac:dyDescent="0.25">
      <c r="A405" s="2">
        <v>73</v>
      </c>
      <c r="B405" s="63"/>
      <c r="C405" s="56"/>
      <c r="D405" s="56"/>
      <c r="E405" s="56"/>
      <c r="F405" s="56"/>
      <c r="G405" s="56"/>
      <c r="H405" s="56"/>
      <c r="I405" s="110" t="str">
        <f ca="1">IF(AND(INDIRECT("H405")&gt;=INDIRECT("F405"),AA405=0,AB405=0,AC405=0,AF405=0),"Yes",IF(AND(INDIRECT("H405")&lt;INDIRECT("F405"),AA405=0,AB405=0,AC405=0,AF405=0),"No","N/A"))</f>
        <v>N/A</v>
      </c>
      <c r="J405" s="174" t="str">
        <f t="shared" ca="1" si="18"/>
        <v>No Error</v>
      </c>
      <c r="K405" s="174"/>
      <c r="L405" s="174"/>
      <c r="AA405" s="61">
        <f ca="1">COUNTBLANK(INDIRECT("C405"))</f>
        <v>1</v>
      </c>
      <c r="AB405" s="61">
        <f ca="1">COUNTBLANK(INDIRECT("d405"))</f>
        <v>1</v>
      </c>
      <c r="AC405" s="61">
        <f ca="1">COUNTBLANK(INDIRECT("e405"))</f>
        <v>1</v>
      </c>
      <c r="AD405" s="61">
        <f ca="1">COUNTBLANK(INDIRECT("f405"))</f>
        <v>1</v>
      </c>
      <c r="AE405" s="61">
        <f ca="1">COUNTBLANK(INDIRECT("g405"))</f>
        <v>1</v>
      </c>
      <c r="AF405" s="61">
        <f ca="1">COUNTBLANK(INDIRECT("h405"))</f>
        <v>1</v>
      </c>
      <c r="AG405" s="61">
        <f ca="1">COUNTBLANK(INDIRECT("b405"))</f>
        <v>1</v>
      </c>
    </row>
    <row r="406" spans="1:33" x14ac:dyDescent="0.25">
      <c r="A406" s="2">
        <v>74</v>
      </c>
      <c r="B406" s="63"/>
      <c r="C406" s="56"/>
      <c r="D406" s="56"/>
      <c r="E406" s="56"/>
      <c r="F406" s="56"/>
      <c r="G406" s="56"/>
      <c r="H406" s="56"/>
      <c r="I406" s="110" t="str">
        <f ca="1">IF(AND(INDIRECT("H406")&gt;=INDIRECT("F406"),AA406=0,AB406=0,AC406=0,AF406=0),"Yes",IF(AND(INDIRECT("H406")&lt;INDIRECT("F406"),AA406=0,AB406=0,AC406=0,AF406=0),"No","N/A"))</f>
        <v>N/A</v>
      </c>
      <c r="J406" s="174" t="str">
        <f t="shared" ca="1" si="18"/>
        <v>No Error</v>
      </c>
      <c r="K406" s="174"/>
      <c r="L406" s="174"/>
      <c r="AA406" s="61">
        <f ca="1">COUNTBLANK(INDIRECT("C406"))</f>
        <v>1</v>
      </c>
      <c r="AB406" s="61">
        <f ca="1">COUNTBLANK(INDIRECT("d406"))</f>
        <v>1</v>
      </c>
      <c r="AC406" s="61">
        <f ca="1">COUNTBLANK(INDIRECT("e406"))</f>
        <v>1</v>
      </c>
      <c r="AD406" s="61">
        <f ca="1">COUNTBLANK(INDIRECT("f406"))</f>
        <v>1</v>
      </c>
      <c r="AE406" s="61">
        <f ca="1">COUNTBLANK(INDIRECT("g406"))</f>
        <v>1</v>
      </c>
      <c r="AF406" s="61">
        <f ca="1">COUNTBLANK(INDIRECT("h406"))</f>
        <v>1</v>
      </c>
      <c r="AG406" s="61">
        <f ca="1">COUNTBLANK(INDIRECT("b406"))</f>
        <v>1</v>
      </c>
    </row>
    <row r="407" spans="1:33" x14ac:dyDescent="0.25">
      <c r="A407" s="2">
        <v>75</v>
      </c>
      <c r="B407" s="63"/>
      <c r="C407" s="56"/>
      <c r="D407" s="56"/>
      <c r="E407" s="56"/>
      <c r="F407" s="56"/>
      <c r="G407" s="56"/>
      <c r="H407" s="56"/>
      <c r="I407" s="110" t="str">
        <f ca="1">IF(AND(INDIRECT("H407")&gt;=INDIRECT("F407"),AA407=0,AB407=0,AC407=0,AF407=0),"Yes",IF(AND(INDIRECT("H407")&lt;INDIRECT("F407"),AA407=0,AB407=0,AC407=0,AF407=0),"No","N/A"))</f>
        <v>N/A</v>
      </c>
      <c r="J407" s="174" t="str">
        <f t="shared" ca="1" si="18"/>
        <v>No Error</v>
      </c>
      <c r="K407" s="174"/>
      <c r="L407" s="174"/>
      <c r="AA407" s="61">
        <f ca="1">COUNTBLANK(INDIRECT("C407"))</f>
        <v>1</v>
      </c>
      <c r="AB407" s="61">
        <f ca="1">COUNTBLANK(INDIRECT("d407"))</f>
        <v>1</v>
      </c>
      <c r="AC407" s="61">
        <f ca="1">COUNTBLANK(INDIRECT("e407"))</f>
        <v>1</v>
      </c>
      <c r="AD407" s="61">
        <f ca="1">COUNTBLANK(INDIRECT("f407"))</f>
        <v>1</v>
      </c>
      <c r="AE407" s="61">
        <f ca="1">COUNTBLANK(INDIRECT("g407"))</f>
        <v>1</v>
      </c>
      <c r="AF407" s="61">
        <f ca="1">COUNTBLANK(INDIRECT("h407"))</f>
        <v>1</v>
      </c>
      <c r="AG407" s="61">
        <f ca="1">COUNTBLANK(INDIRECT("b407"))</f>
        <v>1</v>
      </c>
    </row>
    <row r="408" spans="1:33" x14ac:dyDescent="0.25">
      <c r="A408" s="2">
        <v>76</v>
      </c>
      <c r="B408" s="63"/>
      <c r="C408" s="56"/>
      <c r="D408" s="56"/>
      <c r="E408" s="56"/>
      <c r="F408" s="56"/>
      <c r="G408" s="56"/>
      <c r="H408" s="56"/>
      <c r="I408" s="110" t="str">
        <f ca="1">IF(AND(INDIRECT("H408")&gt;=INDIRECT("F408"),AA408=0,AB408=0,AC408=0,AF408=0),"Yes",IF(AND(INDIRECT("H408")&lt;INDIRECT("F408"),AA408=0,AB408=0,AC408=0,AF408=0),"No","N/A"))</f>
        <v>N/A</v>
      </c>
      <c r="J408" s="174" t="str">
        <f t="shared" ca="1" si="18"/>
        <v>No Error</v>
      </c>
      <c r="K408" s="174"/>
      <c r="L408" s="174"/>
      <c r="AA408" s="61">
        <f ca="1">COUNTBLANK(INDIRECT("C408"))</f>
        <v>1</v>
      </c>
      <c r="AB408" s="61">
        <f ca="1">COUNTBLANK(INDIRECT("d408"))</f>
        <v>1</v>
      </c>
      <c r="AC408" s="61">
        <f ca="1">COUNTBLANK(INDIRECT("e408"))</f>
        <v>1</v>
      </c>
      <c r="AD408" s="61">
        <f ca="1">COUNTBLANK(INDIRECT("f408"))</f>
        <v>1</v>
      </c>
      <c r="AE408" s="61">
        <f ca="1">COUNTBLANK(INDIRECT("g408"))</f>
        <v>1</v>
      </c>
      <c r="AF408" s="61">
        <f ca="1">COUNTBLANK(INDIRECT("h408"))</f>
        <v>1</v>
      </c>
      <c r="AG408" s="61">
        <f ca="1">COUNTBLANK(INDIRECT("b408"))</f>
        <v>1</v>
      </c>
    </row>
    <row r="409" spans="1:33" x14ac:dyDescent="0.25">
      <c r="A409" s="2">
        <v>77</v>
      </c>
      <c r="B409" s="63"/>
      <c r="C409" s="56"/>
      <c r="D409" s="56"/>
      <c r="E409" s="56"/>
      <c r="F409" s="56"/>
      <c r="G409" s="56"/>
      <c r="H409" s="56"/>
      <c r="I409" s="110" t="str">
        <f ca="1">IF(AND(INDIRECT("H409")&gt;=INDIRECT("F409"),AA409=0,AB409=0,AC409=0,AF409=0),"Yes",IF(AND(INDIRECT("H409")&lt;INDIRECT("F409"),AA409=0,AB409=0,AC409=0,AF409=0),"No","N/A"))</f>
        <v>N/A</v>
      </c>
      <c r="J409" s="174" t="str">
        <f t="shared" ca="1" si="18"/>
        <v>No Error</v>
      </c>
      <c r="K409" s="174"/>
      <c r="L409" s="174"/>
      <c r="AA409" s="61">
        <f ca="1">COUNTBLANK(INDIRECT("C409"))</f>
        <v>1</v>
      </c>
      <c r="AB409" s="61">
        <f ca="1">COUNTBLANK(INDIRECT("d409"))</f>
        <v>1</v>
      </c>
      <c r="AC409" s="61">
        <f ca="1">COUNTBLANK(INDIRECT("e409"))</f>
        <v>1</v>
      </c>
      <c r="AD409" s="61">
        <f ca="1">COUNTBLANK(INDIRECT("f409"))</f>
        <v>1</v>
      </c>
      <c r="AE409" s="61">
        <f ca="1">COUNTBLANK(INDIRECT("g409"))</f>
        <v>1</v>
      </c>
      <c r="AF409" s="61">
        <f ca="1">COUNTBLANK(INDIRECT("h409"))</f>
        <v>1</v>
      </c>
      <c r="AG409" s="61">
        <f ca="1">COUNTBLANK(INDIRECT("b409"))</f>
        <v>1</v>
      </c>
    </row>
    <row r="410" spans="1:33" x14ac:dyDescent="0.25">
      <c r="A410" s="2">
        <v>78</v>
      </c>
      <c r="B410" s="63"/>
      <c r="C410" s="56"/>
      <c r="D410" s="56"/>
      <c r="E410" s="56"/>
      <c r="F410" s="56"/>
      <c r="G410" s="56"/>
      <c r="H410" s="56"/>
      <c r="I410" s="110" t="str">
        <f ca="1">IF(AND(INDIRECT("H410")&gt;=INDIRECT("F410"),AA410=0,AB410=0,AC410=0,AF410=0),"Yes",IF(AND(INDIRECT("H410")&lt;INDIRECT("F410"),AA410=0,AB410=0,AC410=0,AF410=0),"No","N/A"))</f>
        <v>N/A</v>
      </c>
      <c r="J410" s="174" t="str">
        <f t="shared" ca="1" si="18"/>
        <v>No Error</v>
      </c>
      <c r="K410" s="174"/>
      <c r="L410" s="174"/>
      <c r="AA410" s="61">
        <f ca="1">COUNTBLANK(INDIRECT("C410"))</f>
        <v>1</v>
      </c>
      <c r="AB410" s="61">
        <f ca="1">COUNTBLANK(INDIRECT("d410"))</f>
        <v>1</v>
      </c>
      <c r="AC410" s="61">
        <f ca="1">COUNTBLANK(INDIRECT("e410"))</f>
        <v>1</v>
      </c>
      <c r="AD410" s="61">
        <f ca="1">COUNTBLANK(INDIRECT("f410"))</f>
        <v>1</v>
      </c>
      <c r="AE410" s="61">
        <f ca="1">COUNTBLANK(INDIRECT("g410"))</f>
        <v>1</v>
      </c>
      <c r="AF410" s="61">
        <f ca="1">COUNTBLANK(INDIRECT("h410"))</f>
        <v>1</v>
      </c>
      <c r="AG410" s="61">
        <f ca="1">COUNTBLANK(INDIRECT("b410"))</f>
        <v>1</v>
      </c>
    </row>
    <row r="411" spans="1:33" x14ac:dyDescent="0.25">
      <c r="A411" s="2">
        <v>79</v>
      </c>
      <c r="B411" s="63"/>
      <c r="C411" s="56"/>
      <c r="D411" s="56"/>
      <c r="E411" s="56"/>
      <c r="F411" s="56"/>
      <c r="G411" s="56"/>
      <c r="H411" s="56"/>
      <c r="I411" s="110" t="str">
        <f ca="1">IF(AND(INDIRECT("H411")&gt;=INDIRECT("F411"),AA411=0,AB411=0,AC411=0,AF411=0),"Yes",IF(AND(INDIRECT("H411")&lt;INDIRECT("F411"),AA411=0,AB411=0,AC411=0,AF411=0),"No","N/A"))</f>
        <v>N/A</v>
      </c>
      <c r="J411" s="174" t="str">
        <f t="shared" ca="1" si="18"/>
        <v>No Error</v>
      </c>
      <c r="K411" s="174"/>
      <c r="L411" s="174"/>
      <c r="AA411" s="61">
        <f ca="1">COUNTBLANK(INDIRECT("C411"))</f>
        <v>1</v>
      </c>
      <c r="AB411" s="61">
        <f ca="1">COUNTBLANK(INDIRECT("d411"))</f>
        <v>1</v>
      </c>
      <c r="AC411" s="61">
        <f ca="1">COUNTBLANK(INDIRECT("e411"))</f>
        <v>1</v>
      </c>
      <c r="AD411" s="61">
        <f ca="1">COUNTBLANK(INDIRECT("f411"))</f>
        <v>1</v>
      </c>
      <c r="AE411" s="61">
        <f ca="1">COUNTBLANK(INDIRECT("g411"))</f>
        <v>1</v>
      </c>
      <c r="AF411" s="61">
        <f ca="1">COUNTBLANK(INDIRECT("h411"))</f>
        <v>1</v>
      </c>
      <c r="AG411" s="61">
        <f ca="1">COUNTBLANK(INDIRECT("b411"))</f>
        <v>1</v>
      </c>
    </row>
    <row r="412" spans="1:33" x14ac:dyDescent="0.25">
      <c r="A412" s="2">
        <v>80</v>
      </c>
      <c r="B412" s="63"/>
      <c r="C412" s="56"/>
      <c r="D412" s="56"/>
      <c r="E412" s="56"/>
      <c r="F412" s="56"/>
      <c r="G412" s="56"/>
      <c r="H412" s="56"/>
      <c r="I412" s="110" t="str">
        <f ca="1">IF(AND(INDIRECT("H412")&gt;=INDIRECT("F412"),AA412=0,AB412=0,AC412=0,AF412=0),"Yes",IF(AND(INDIRECT("H412")&lt;INDIRECT("F412"),AA412=0,AB412=0,AC412=0,AF412=0),"No","N/A"))</f>
        <v>N/A</v>
      </c>
      <c r="J412" s="174" t="str">
        <f t="shared" ca="1" si="18"/>
        <v>No Error</v>
      </c>
      <c r="K412" s="174"/>
      <c r="L412" s="174"/>
      <c r="AA412" s="61">
        <f ca="1">COUNTBLANK(INDIRECT("C412"))</f>
        <v>1</v>
      </c>
      <c r="AB412" s="61">
        <f ca="1">COUNTBLANK(INDIRECT("d412"))</f>
        <v>1</v>
      </c>
      <c r="AC412" s="61">
        <f ca="1">COUNTBLANK(INDIRECT("e412"))</f>
        <v>1</v>
      </c>
      <c r="AD412" s="61">
        <f ca="1">COUNTBLANK(INDIRECT("f412"))</f>
        <v>1</v>
      </c>
      <c r="AE412" s="61">
        <f ca="1">COUNTBLANK(INDIRECT("g412"))</f>
        <v>1</v>
      </c>
      <c r="AF412" s="61">
        <f ca="1">COUNTBLANK(INDIRECT("h412"))</f>
        <v>1</v>
      </c>
      <c r="AG412" s="61">
        <f ca="1">COUNTBLANK(INDIRECT("b412"))</f>
        <v>1</v>
      </c>
    </row>
    <row r="413" spans="1:33" x14ac:dyDescent="0.25">
      <c r="A413" s="2">
        <v>81</v>
      </c>
      <c r="B413" s="63"/>
      <c r="C413" s="56"/>
      <c r="D413" s="56"/>
      <c r="E413" s="56"/>
      <c r="F413" s="56"/>
      <c r="G413" s="56"/>
      <c r="H413" s="56"/>
      <c r="I413" s="110" t="str">
        <f ca="1">IF(AND(INDIRECT("H413")&gt;=INDIRECT("F413"),AA413=0,AB413=0,AC413=0,AF413=0),"Yes",IF(AND(INDIRECT("H413")&lt;INDIRECT("F413"),AA413=0,AB413=0,AC413=0,AF413=0),"No","N/A"))</f>
        <v>N/A</v>
      </c>
      <c r="J413" s="174" t="str">
        <f t="shared" ca="1" si="18"/>
        <v>No Error</v>
      </c>
      <c r="K413" s="174"/>
      <c r="L413" s="174"/>
      <c r="AA413" s="61">
        <f ca="1">COUNTBLANK(INDIRECT("C413"))</f>
        <v>1</v>
      </c>
      <c r="AB413" s="61">
        <f ca="1">COUNTBLANK(INDIRECT("d413"))</f>
        <v>1</v>
      </c>
      <c r="AC413" s="61">
        <f ca="1">COUNTBLANK(INDIRECT("e413"))</f>
        <v>1</v>
      </c>
      <c r="AD413" s="61">
        <f ca="1">COUNTBLANK(INDIRECT("f413"))</f>
        <v>1</v>
      </c>
      <c r="AE413" s="61">
        <f ca="1">COUNTBLANK(INDIRECT("g413"))</f>
        <v>1</v>
      </c>
      <c r="AF413" s="61">
        <f ca="1">COUNTBLANK(INDIRECT("h413"))</f>
        <v>1</v>
      </c>
      <c r="AG413" s="61">
        <f ca="1">COUNTBLANK(INDIRECT("b413"))</f>
        <v>1</v>
      </c>
    </row>
    <row r="414" spans="1:33" x14ac:dyDescent="0.25">
      <c r="A414" s="2">
        <v>82</v>
      </c>
      <c r="B414" s="63"/>
      <c r="C414" s="56"/>
      <c r="D414" s="56"/>
      <c r="E414" s="56"/>
      <c r="F414" s="56"/>
      <c r="G414" s="56"/>
      <c r="H414" s="56"/>
      <c r="I414" s="110" t="str">
        <f ca="1">IF(AND(INDIRECT("H414")&gt;=INDIRECT("F414"),AA414=0,AB414=0,AC414=0,AF414=0),"Yes",IF(AND(INDIRECT("H414")&lt;INDIRECT("F414"),AA414=0,AB414=0,AC414=0,AF414=0),"No","N/A"))</f>
        <v>N/A</v>
      </c>
      <c r="J414" s="174" t="str">
        <f t="shared" ca="1" si="18"/>
        <v>No Error</v>
      </c>
      <c r="K414" s="174"/>
      <c r="L414" s="174"/>
      <c r="AA414" s="61">
        <f ca="1">COUNTBLANK(INDIRECT("C414"))</f>
        <v>1</v>
      </c>
      <c r="AB414" s="61">
        <f ca="1">COUNTBLANK(INDIRECT("d414"))</f>
        <v>1</v>
      </c>
      <c r="AC414" s="61">
        <f ca="1">COUNTBLANK(INDIRECT("e414"))</f>
        <v>1</v>
      </c>
      <c r="AD414" s="61">
        <f ca="1">COUNTBLANK(INDIRECT("f414"))</f>
        <v>1</v>
      </c>
      <c r="AE414" s="61">
        <f ca="1">COUNTBLANK(INDIRECT("g414"))</f>
        <v>1</v>
      </c>
      <c r="AF414" s="61">
        <f ca="1">COUNTBLANK(INDIRECT("h414"))</f>
        <v>1</v>
      </c>
      <c r="AG414" s="61">
        <f ca="1">COUNTBLANK(INDIRECT("b414"))</f>
        <v>1</v>
      </c>
    </row>
    <row r="415" spans="1:33" x14ac:dyDescent="0.25">
      <c r="A415" s="2">
        <v>83</v>
      </c>
      <c r="B415" s="63"/>
      <c r="C415" s="56"/>
      <c r="D415" s="56"/>
      <c r="E415" s="56"/>
      <c r="F415" s="56"/>
      <c r="G415" s="56"/>
      <c r="H415" s="56"/>
      <c r="I415" s="110" t="str">
        <f ca="1">IF(AND(INDIRECT("H415")&gt;=INDIRECT("F415"),AA415=0,AB415=0,AC415=0,AF415=0),"Yes",IF(AND(INDIRECT("H415")&lt;INDIRECT("F415"),AA415=0,AB415=0,AC415=0,AF415=0),"No","N/A"))</f>
        <v>N/A</v>
      </c>
      <c r="J415" s="174" t="str">
        <f t="shared" ca="1" si="18"/>
        <v>No Error</v>
      </c>
      <c r="K415" s="174"/>
      <c r="L415" s="174"/>
      <c r="AA415" s="61">
        <f ca="1">COUNTBLANK(INDIRECT("C415"))</f>
        <v>1</v>
      </c>
      <c r="AB415" s="61">
        <f ca="1">COUNTBLANK(INDIRECT("d415"))</f>
        <v>1</v>
      </c>
      <c r="AC415" s="61">
        <f ca="1">COUNTBLANK(INDIRECT("e415"))</f>
        <v>1</v>
      </c>
      <c r="AD415" s="61">
        <f ca="1">COUNTBLANK(INDIRECT("f415"))</f>
        <v>1</v>
      </c>
      <c r="AE415" s="61">
        <f ca="1">COUNTBLANK(INDIRECT("g415"))</f>
        <v>1</v>
      </c>
      <c r="AF415" s="61">
        <f ca="1">COUNTBLANK(INDIRECT("h415"))</f>
        <v>1</v>
      </c>
      <c r="AG415" s="61">
        <f ca="1">COUNTBLANK(INDIRECT("b415"))</f>
        <v>1</v>
      </c>
    </row>
    <row r="416" spans="1:33" x14ac:dyDescent="0.25">
      <c r="A416" s="2">
        <v>84</v>
      </c>
      <c r="B416" s="63"/>
      <c r="C416" s="56"/>
      <c r="D416" s="56"/>
      <c r="E416" s="56"/>
      <c r="F416" s="56"/>
      <c r="G416" s="56"/>
      <c r="H416" s="56"/>
      <c r="I416" s="110" t="str">
        <f ca="1">IF(AND(INDIRECT("H416")&gt;=INDIRECT("F416"),AA416=0,AB416=0,AC416=0,AF416=0),"Yes",IF(AND(INDIRECT("H416")&lt;INDIRECT("F416"),AA416=0,AB416=0,AC416=0,AF416=0),"No","N/A"))</f>
        <v>N/A</v>
      </c>
      <c r="J416" s="174" t="str">
        <f t="shared" ca="1" si="18"/>
        <v>No Error</v>
      </c>
      <c r="K416" s="174"/>
      <c r="L416" s="174"/>
      <c r="AA416" s="61">
        <f ca="1">COUNTBLANK(INDIRECT("C416"))</f>
        <v>1</v>
      </c>
      <c r="AB416" s="61">
        <f ca="1">COUNTBLANK(INDIRECT("d416"))</f>
        <v>1</v>
      </c>
      <c r="AC416" s="61">
        <f ca="1">COUNTBLANK(INDIRECT("e416"))</f>
        <v>1</v>
      </c>
      <c r="AD416" s="61">
        <f ca="1">COUNTBLANK(INDIRECT("f416"))</f>
        <v>1</v>
      </c>
      <c r="AE416" s="61">
        <f ca="1">COUNTBLANK(INDIRECT("g416"))</f>
        <v>1</v>
      </c>
      <c r="AF416" s="61">
        <f ca="1">COUNTBLANK(INDIRECT("h416"))</f>
        <v>1</v>
      </c>
      <c r="AG416" s="61">
        <f ca="1">COUNTBLANK(INDIRECT("b416"))</f>
        <v>1</v>
      </c>
    </row>
    <row r="417" spans="1:33" x14ac:dyDescent="0.25">
      <c r="A417" s="2">
        <v>85</v>
      </c>
      <c r="B417" s="63"/>
      <c r="C417" s="56"/>
      <c r="D417" s="56"/>
      <c r="E417" s="56"/>
      <c r="F417" s="56"/>
      <c r="G417" s="56"/>
      <c r="H417" s="56"/>
      <c r="I417" s="110" t="str">
        <f ca="1">IF(AND(INDIRECT("H417")&gt;=INDIRECT("F417"),AA417=0,AB417=0,AC417=0,AF417=0),"Yes",IF(AND(INDIRECT("H417")&lt;INDIRECT("F417"),AA417=0,AB417=0,AC417=0,AF417=0),"No","N/A"))</f>
        <v>N/A</v>
      </c>
      <c r="J417" s="174" t="str">
        <f t="shared" ca="1" si="18"/>
        <v>No Error</v>
      </c>
      <c r="K417" s="174"/>
      <c r="L417" s="174"/>
      <c r="AA417" s="61">
        <f ca="1">COUNTBLANK(INDIRECT("C417"))</f>
        <v>1</v>
      </c>
      <c r="AB417" s="61">
        <f ca="1">COUNTBLANK(INDIRECT("d417"))</f>
        <v>1</v>
      </c>
      <c r="AC417" s="61">
        <f ca="1">COUNTBLANK(INDIRECT("e417"))</f>
        <v>1</v>
      </c>
      <c r="AD417" s="61">
        <f ca="1">COUNTBLANK(INDIRECT("f417"))</f>
        <v>1</v>
      </c>
      <c r="AE417" s="61">
        <f ca="1">COUNTBLANK(INDIRECT("g417"))</f>
        <v>1</v>
      </c>
      <c r="AF417" s="61">
        <f ca="1">COUNTBLANK(INDIRECT("h417"))</f>
        <v>1</v>
      </c>
      <c r="AG417" s="61">
        <f ca="1">COUNTBLANK(INDIRECT("b417"))</f>
        <v>1</v>
      </c>
    </row>
    <row r="418" spans="1:33" x14ac:dyDescent="0.25">
      <c r="A418" s="2">
        <v>86</v>
      </c>
      <c r="B418" s="63"/>
      <c r="C418" s="56"/>
      <c r="D418" s="56"/>
      <c r="E418" s="56"/>
      <c r="F418" s="56"/>
      <c r="G418" s="56"/>
      <c r="H418" s="56"/>
      <c r="I418" s="110" t="str">
        <f ca="1">IF(AND(INDIRECT("H418")&gt;=INDIRECT("F418"),AA418=0,AB418=0,AC418=0,AF418=0),"Yes",IF(AND(INDIRECT("H418")&lt;INDIRECT("F418"),AA418=0,AB418=0,AC418=0,AF418=0),"No","N/A"))</f>
        <v>N/A</v>
      </c>
      <c r="J418" s="174" t="str">
        <f t="shared" ca="1" si="18"/>
        <v>No Error</v>
      </c>
      <c r="K418" s="174"/>
      <c r="L418" s="174"/>
      <c r="AA418" s="61">
        <f ca="1">COUNTBLANK(INDIRECT("C418"))</f>
        <v>1</v>
      </c>
      <c r="AB418" s="61">
        <f ca="1">COUNTBLANK(INDIRECT("d418"))</f>
        <v>1</v>
      </c>
      <c r="AC418" s="61">
        <f ca="1">COUNTBLANK(INDIRECT("e418"))</f>
        <v>1</v>
      </c>
      <c r="AD418" s="61">
        <f ca="1">COUNTBLANK(INDIRECT("f418"))</f>
        <v>1</v>
      </c>
      <c r="AE418" s="61">
        <f ca="1">COUNTBLANK(INDIRECT("g418"))</f>
        <v>1</v>
      </c>
      <c r="AF418" s="61">
        <f ca="1">COUNTBLANK(INDIRECT("h418"))</f>
        <v>1</v>
      </c>
      <c r="AG418" s="61">
        <f ca="1">COUNTBLANK(INDIRECT("b418"))</f>
        <v>1</v>
      </c>
    </row>
    <row r="419" spans="1:33" x14ac:dyDescent="0.25">
      <c r="A419" s="2">
        <v>87</v>
      </c>
      <c r="B419" s="63"/>
      <c r="C419" s="56"/>
      <c r="D419" s="56"/>
      <c r="E419" s="56"/>
      <c r="F419" s="56"/>
      <c r="G419" s="56"/>
      <c r="H419" s="56"/>
      <c r="I419" s="110" t="str">
        <f ca="1">IF(AND(INDIRECT("H419")&gt;=INDIRECT("F419"),AA419=0,AB419=0,AC419=0,AF419=0),"Yes",IF(AND(INDIRECT("H419")&lt;INDIRECT("F419"),AA419=0,AB419=0,AC419=0,AF419=0),"No","N/A"))</f>
        <v>N/A</v>
      </c>
      <c r="J419" s="174" t="str">
        <f t="shared" ca="1" si="18"/>
        <v>No Error</v>
      </c>
      <c r="K419" s="174"/>
      <c r="L419" s="174"/>
      <c r="AA419" s="61">
        <f ca="1">COUNTBLANK(INDIRECT("C419"))</f>
        <v>1</v>
      </c>
      <c r="AB419" s="61">
        <f ca="1">COUNTBLANK(INDIRECT("d419"))</f>
        <v>1</v>
      </c>
      <c r="AC419" s="61">
        <f ca="1">COUNTBLANK(INDIRECT("e419"))</f>
        <v>1</v>
      </c>
      <c r="AD419" s="61">
        <f ca="1">COUNTBLANK(INDIRECT("f419"))</f>
        <v>1</v>
      </c>
      <c r="AE419" s="61">
        <f ca="1">COUNTBLANK(INDIRECT("g419"))</f>
        <v>1</v>
      </c>
      <c r="AF419" s="61">
        <f ca="1">COUNTBLANK(INDIRECT("h419"))</f>
        <v>1</v>
      </c>
      <c r="AG419" s="61">
        <f ca="1">COUNTBLANK(INDIRECT("b419"))</f>
        <v>1</v>
      </c>
    </row>
    <row r="420" spans="1:33" x14ac:dyDescent="0.25">
      <c r="A420" s="2">
        <v>88</v>
      </c>
      <c r="B420" s="63"/>
      <c r="C420" s="56"/>
      <c r="D420" s="56"/>
      <c r="E420" s="56"/>
      <c r="F420" s="56"/>
      <c r="G420" s="56"/>
      <c r="H420" s="56"/>
      <c r="I420" s="110" t="str">
        <f ca="1">IF(AND(INDIRECT("H420")&gt;=INDIRECT("F420"),AA420=0,AB420=0,AC420=0,AF420=0),"Yes",IF(AND(INDIRECT("H420")&lt;INDIRECT("F420"),AA420=0,AB420=0,AC420=0,AF420=0),"No","N/A"))</f>
        <v>N/A</v>
      </c>
      <c r="J420" s="174" t="str">
        <f t="shared" ca="1" si="18"/>
        <v>No Error</v>
      </c>
      <c r="K420" s="174"/>
      <c r="L420" s="174"/>
      <c r="AA420" s="61">
        <f ca="1">COUNTBLANK(INDIRECT("C420"))</f>
        <v>1</v>
      </c>
      <c r="AB420" s="61">
        <f ca="1">COUNTBLANK(INDIRECT("d420"))</f>
        <v>1</v>
      </c>
      <c r="AC420" s="61">
        <f ca="1">COUNTBLANK(INDIRECT("e420"))</f>
        <v>1</v>
      </c>
      <c r="AD420" s="61">
        <f ca="1">COUNTBLANK(INDIRECT("f420"))</f>
        <v>1</v>
      </c>
      <c r="AE420" s="61">
        <f ca="1">COUNTBLANK(INDIRECT("g420"))</f>
        <v>1</v>
      </c>
      <c r="AF420" s="61">
        <f ca="1">COUNTBLANK(INDIRECT("h420"))</f>
        <v>1</v>
      </c>
      <c r="AG420" s="61">
        <f ca="1">COUNTBLANK(INDIRECT("b420"))</f>
        <v>1</v>
      </c>
    </row>
    <row r="421" spans="1:33" x14ac:dyDescent="0.25">
      <c r="A421" s="2">
        <v>89</v>
      </c>
      <c r="B421" s="63"/>
      <c r="C421" s="56"/>
      <c r="D421" s="56"/>
      <c r="E421" s="56"/>
      <c r="F421" s="56"/>
      <c r="G421" s="56"/>
      <c r="H421" s="56"/>
      <c r="I421" s="110" t="str">
        <f ca="1">IF(AND(INDIRECT("H421")&gt;=INDIRECT("F421"),AA421=0,AB421=0,AC421=0,AF421=0),"Yes",IF(AND(INDIRECT("H421")&lt;INDIRECT("F421"),AA421=0,AB421=0,AC421=0,AF421=0),"No","N/A"))</f>
        <v>N/A</v>
      </c>
      <c r="J421" s="174" t="str">
        <f t="shared" ca="1" si="18"/>
        <v>No Error</v>
      </c>
      <c r="K421" s="174"/>
      <c r="L421" s="174"/>
      <c r="AA421" s="61">
        <f ca="1">COUNTBLANK(INDIRECT("C421"))</f>
        <v>1</v>
      </c>
      <c r="AB421" s="61">
        <f ca="1">COUNTBLANK(INDIRECT("d421"))</f>
        <v>1</v>
      </c>
      <c r="AC421" s="61">
        <f ca="1">COUNTBLANK(INDIRECT("e421"))</f>
        <v>1</v>
      </c>
      <c r="AD421" s="61">
        <f ca="1">COUNTBLANK(INDIRECT("f421"))</f>
        <v>1</v>
      </c>
      <c r="AE421" s="61">
        <f ca="1">COUNTBLANK(INDIRECT("g421"))</f>
        <v>1</v>
      </c>
      <c r="AF421" s="61">
        <f ca="1">COUNTBLANK(INDIRECT("h421"))</f>
        <v>1</v>
      </c>
      <c r="AG421" s="61">
        <f ca="1">COUNTBLANK(INDIRECT("b421"))</f>
        <v>1</v>
      </c>
    </row>
    <row r="422" spans="1:33" x14ac:dyDescent="0.25">
      <c r="A422" s="2">
        <v>90</v>
      </c>
      <c r="B422" s="63"/>
      <c r="C422" s="56"/>
      <c r="D422" s="56"/>
      <c r="E422" s="56"/>
      <c r="F422" s="56"/>
      <c r="G422" s="56"/>
      <c r="H422" s="56"/>
      <c r="I422" s="110" t="str">
        <f ca="1">IF(AND(INDIRECT("H422")&gt;=INDIRECT("F422"),AA422=0,AB422=0,AC422=0,AF422=0),"Yes",IF(AND(INDIRECT("H422")&lt;INDIRECT("F422"),AA422=0,AB422=0,AC422=0,AF422=0),"No","N/A"))</f>
        <v>N/A</v>
      </c>
      <c r="J422" s="174" t="str">
        <f t="shared" ref="J422:J457" ca="1" si="19">IF(AND(AF422=0,AG422=0,AA422=0,AB422=0,AC422=0,AD422=0),"No Error",IF(AND(AF422=1,AG422=1,AA422=1,AB422=1,AC422=1,AD422=1),"No Error","Please supply all information"))</f>
        <v>No Error</v>
      </c>
      <c r="K422" s="174"/>
      <c r="L422" s="174"/>
      <c r="AA422" s="61">
        <f ca="1">COUNTBLANK(INDIRECT("C422"))</f>
        <v>1</v>
      </c>
      <c r="AB422" s="61">
        <f ca="1">COUNTBLANK(INDIRECT("d422"))</f>
        <v>1</v>
      </c>
      <c r="AC422" s="61">
        <f ca="1">COUNTBLANK(INDIRECT("e422"))</f>
        <v>1</v>
      </c>
      <c r="AD422" s="61">
        <f ca="1">COUNTBLANK(INDIRECT("f422"))</f>
        <v>1</v>
      </c>
      <c r="AE422" s="61">
        <f ca="1">COUNTBLANK(INDIRECT("g422"))</f>
        <v>1</v>
      </c>
      <c r="AF422" s="61">
        <f ca="1">COUNTBLANK(INDIRECT("h422"))</f>
        <v>1</v>
      </c>
      <c r="AG422" s="61">
        <f ca="1">COUNTBLANK(INDIRECT("b422"))</f>
        <v>1</v>
      </c>
    </row>
    <row r="423" spans="1:33" x14ac:dyDescent="0.25">
      <c r="A423" s="2">
        <v>91</v>
      </c>
      <c r="B423" s="63"/>
      <c r="C423" s="56"/>
      <c r="D423" s="56"/>
      <c r="E423" s="56"/>
      <c r="F423" s="56"/>
      <c r="G423" s="56"/>
      <c r="H423" s="56"/>
      <c r="I423" s="110" t="str">
        <f ca="1">IF(AND(INDIRECT("H423")&gt;=INDIRECT("F423"),AA423=0,AB423=0,AC423=0,AF423=0),"Yes",IF(AND(INDIRECT("H423")&lt;INDIRECT("F423"),AA423=0,AB423=0,AC423=0,AF423=0),"No","N/A"))</f>
        <v>N/A</v>
      </c>
      <c r="J423" s="174" t="str">
        <f t="shared" ca="1" si="19"/>
        <v>No Error</v>
      </c>
      <c r="K423" s="174"/>
      <c r="L423" s="174"/>
      <c r="AA423" s="61">
        <f ca="1">COUNTBLANK(INDIRECT("C423"))</f>
        <v>1</v>
      </c>
      <c r="AB423" s="61">
        <f ca="1">COUNTBLANK(INDIRECT("d423"))</f>
        <v>1</v>
      </c>
      <c r="AC423" s="61">
        <f ca="1">COUNTBLANK(INDIRECT("e423"))</f>
        <v>1</v>
      </c>
      <c r="AD423" s="61">
        <f ca="1">COUNTBLANK(INDIRECT("f423"))</f>
        <v>1</v>
      </c>
      <c r="AE423" s="61">
        <f ca="1">COUNTBLANK(INDIRECT("g423"))</f>
        <v>1</v>
      </c>
      <c r="AF423" s="61">
        <f ca="1">COUNTBLANK(INDIRECT("h423"))</f>
        <v>1</v>
      </c>
      <c r="AG423" s="61">
        <f ca="1">COUNTBLANK(INDIRECT("b423"))</f>
        <v>1</v>
      </c>
    </row>
    <row r="424" spans="1:33" x14ac:dyDescent="0.25">
      <c r="A424" s="2">
        <v>92</v>
      </c>
      <c r="B424" s="63"/>
      <c r="C424" s="56"/>
      <c r="D424" s="56"/>
      <c r="E424" s="56"/>
      <c r="F424" s="56"/>
      <c r="G424" s="56"/>
      <c r="H424" s="56"/>
      <c r="I424" s="110" t="str">
        <f ca="1">IF(AND(INDIRECT("H424")&gt;=INDIRECT("F424"),AA424=0,AB424=0,AC424=0,AF424=0),"Yes",IF(AND(INDIRECT("H424")&lt;INDIRECT("F424"),AA424=0,AB424=0,AC424=0,AF424=0),"No","N/A"))</f>
        <v>N/A</v>
      </c>
      <c r="J424" s="174" t="str">
        <f t="shared" ca="1" si="19"/>
        <v>No Error</v>
      </c>
      <c r="K424" s="174"/>
      <c r="L424" s="174"/>
      <c r="AA424" s="61">
        <f ca="1">COUNTBLANK(INDIRECT("C424"))</f>
        <v>1</v>
      </c>
      <c r="AB424" s="61">
        <f ca="1">COUNTBLANK(INDIRECT("d424"))</f>
        <v>1</v>
      </c>
      <c r="AC424" s="61">
        <f ca="1">COUNTBLANK(INDIRECT("e424"))</f>
        <v>1</v>
      </c>
      <c r="AD424" s="61">
        <f ca="1">COUNTBLANK(INDIRECT("f424"))</f>
        <v>1</v>
      </c>
      <c r="AE424" s="61">
        <f ca="1">COUNTBLANK(INDIRECT("g424"))</f>
        <v>1</v>
      </c>
      <c r="AF424" s="61">
        <f ca="1">COUNTBLANK(INDIRECT("h424"))</f>
        <v>1</v>
      </c>
      <c r="AG424" s="61">
        <f ca="1">COUNTBLANK(INDIRECT("b424"))</f>
        <v>1</v>
      </c>
    </row>
    <row r="425" spans="1:33" x14ac:dyDescent="0.25">
      <c r="A425" s="2">
        <v>93</v>
      </c>
      <c r="B425" s="63"/>
      <c r="C425" s="56"/>
      <c r="D425" s="56"/>
      <c r="E425" s="56"/>
      <c r="F425" s="56"/>
      <c r="G425" s="56"/>
      <c r="H425" s="56"/>
      <c r="I425" s="110" t="str">
        <f ca="1">IF(AND(INDIRECT("H425")&gt;=INDIRECT("F425"),AA425=0,AB425=0,AC425=0,AF425=0),"Yes",IF(AND(INDIRECT("H425")&lt;INDIRECT("F425"),AA425=0,AB425=0,AC425=0,AF425=0),"No","N/A"))</f>
        <v>N/A</v>
      </c>
      <c r="J425" s="174" t="str">
        <f t="shared" ca="1" si="19"/>
        <v>No Error</v>
      </c>
      <c r="K425" s="174"/>
      <c r="L425" s="174"/>
      <c r="AA425" s="61">
        <f ca="1">COUNTBLANK(INDIRECT("C425"))</f>
        <v>1</v>
      </c>
      <c r="AB425" s="61">
        <f ca="1">COUNTBLANK(INDIRECT("d425"))</f>
        <v>1</v>
      </c>
      <c r="AC425" s="61">
        <f ca="1">COUNTBLANK(INDIRECT("e425"))</f>
        <v>1</v>
      </c>
      <c r="AD425" s="61">
        <f ca="1">COUNTBLANK(INDIRECT("f425"))</f>
        <v>1</v>
      </c>
      <c r="AE425" s="61">
        <f ca="1">COUNTBLANK(INDIRECT("g425"))</f>
        <v>1</v>
      </c>
      <c r="AF425" s="61">
        <f ca="1">COUNTBLANK(INDIRECT("h425"))</f>
        <v>1</v>
      </c>
      <c r="AG425" s="61">
        <f ca="1">COUNTBLANK(INDIRECT("b425"))</f>
        <v>1</v>
      </c>
    </row>
    <row r="426" spans="1:33" x14ac:dyDescent="0.25">
      <c r="A426" s="2">
        <v>94</v>
      </c>
      <c r="B426" s="63"/>
      <c r="C426" s="56"/>
      <c r="D426" s="56"/>
      <c r="E426" s="56"/>
      <c r="F426" s="56"/>
      <c r="G426" s="56"/>
      <c r="H426" s="56"/>
      <c r="I426" s="110" t="str">
        <f ca="1">IF(AND(INDIRECT("H426")&gt;=INDIRECT("F426"),AA426=0,AB426=0,AC426=0,AF426=0),"Yes",IF(AND(INDIRECT("H426")&lt;INDIRECT("F426"),AA426=0,AB426=0,AC426=0,AF426=0),"No","N/A"))</f>
        <v>N/A</v>
      </c>
      <c r="J426" s="174" t="str">
        <f t="shared" ca="1" si="19"/>
        <v>No Error</v>
      </c>
      <c r="K426" s="174"/>
      <c r="L426" s="174"/>
      <c r="AA426" s="61">
        <f ca="1">COUNTBLANK(INDIRECT("C426"))</f>
        <v>1</v>
      </c>
      <c r="AB426" s="61">
        <f ca="1">COUNTBLANK(INDIRECT("d426"))</f>
        <v>1</v>
      </c>
      <c r="AC426" s="61">
        <f ca="1">COUNTBLANK(INDIRECT("e426"))</f>
        <v>1</v>
      </c>
      <c r="AD426" s="61">
        <f ca="1">COUNTBLANK(INDIRECT("f426"))</f>
        <v>1</v>
      </c>
      <c r="AE426" s="61">
        <f ca="1">COUNTBLANK(INDIRECT("g426"))</f>
        <v>1</v>
      </c>
      <c r="AF426" s="61">
        <f ca="1">COUNTBLANK(INDIRECT("h426"))</f>
        <v>1</v>
      </c>
      <c r="AG426" s="61">
        <f ca="1">COUNTBLANK(INDIRECT("b426"))</f>
        <v>1</v>
      </c>
    </row>
    <row r="427" spans="1:33" x14ac:dyDescent="0.25">
      <c r="A427" s="2">
        <v>95</v>
      </c>
      <c r="B427" s="63"/>
      <c r="C427" s="56"/>
      <c r="D427" s="56"/>
      <c r="E427" s="56"/>
      <c r="F427" s="56"/>
      <c r="G427" s="56"/>
      <c r="H427" s="56"/>
      <c r="I427" s="110" t="str">
        <f ca="1">IF(AND(INDIRECT("H427")&gt;=INDIRECT("F427"),AA427=0,AB427=0,AC427=0,AF427=0),"Yes",IF(AND(INDIRECT("H427")&lt;INDIRECT("F427"),AA427=0,AB427=0,AC427=0,AF427=0),"No","N/A"))</f>
        <v>N/A</v>
      </c>
      <c r="J427" s="174" t="str">
        <f t="shared" ca="1" si="19"/>
        <v>No Error</v>
      </c>
      <c r="K427" s="174"/>
      <c r="L427" s="174"/>
      <c r="AA427" s="61">
        <f ca="1">COUNTBLANK(INDIRECT("C427"))</f>
        <v>1</v>
      </c>
      <c r="AB427" s="61">
        <f ca="1">COUNTBLANK(INDIRECT("d427"))</f>
        <v>1</v>
      </c>
      <c r="AC427" s="61">
        <f ca="1">COUNTBLANK(INDIRECT("e427"))</f>
        <v>1</v>
      </c>
      <c r="AD427" s="61">
        <f ca="1">COUNTBLANK(INDIRECT("f427"))</f>
        <v>1</v>
      </c>
      <c r="AE427" s="61">
        <f ca="1">COUNTBLANK(INDIRECT("g427"))</f>
        <v>1</v>
      </c>
      <c r="AF427" s="61">
        <f ca="1">COUNTBLANK(INDIRECT("h427"))</f>
        <v>1</v>
      </c>
      <c r="AG427" s="61">
        <f ca="1">COUNTBLANK(INDIRECT("b427"))</f>
        <v>1</v>
      </c>
    </row>
    <row r="428" spans="1:33" x14ac:dyDescent="0.25">
      <c r="A428" s="2">
        <v>96</v>
      </c>
      <c r="B428" s="63"/>
      <c r="C428" s="56"/>
      <c r="D428" s="56"/>
      <c r="E428" s="56"/>
      <c r="F428" s="56"/>
      <c r="G428" s="56"/>
      <c r="H428" s="56"/>
      <c r="I428" s="110" t="str">
        <f ca="1">IF(AND(INDIRECT("H428")&gt;=INDIRECT("F428"),AA428=0,AB428=0,AC428=0,AF428=0),"Yes",IF(AND(INDIRECT("H428")&lt;INDIRECT("F428"),AA428=0,AB428=0,AC428=0,AF428=0),"No","N/A"))</f>
        <v>N/A</v>
      </c>
      <c r="J428" s="174" t="str">
        <f t="shared" ca="1" si="19"/>
        <v>No Error</v>
      </c>
      <c r="K428" s="174"/>
      <c r="L428" s="174"/>
      <c r="AA428" s="61">
        <f ca="1">COUNTBLANK(INDIRECT("C428"))</f>
        <v>1</v>
      </c>
      <c r="AB428" s="61">
        <f ca="1">COUNTBLANK(INDIRECT("d428"))</f>
        <v>1</v>
      </c>
      <c r="AC428" s="61">
        <f ca="1">COUNTBLANK(INDIRECT("e428"))</f>
        <v>1</v>
      </c>
      <c r="AD428" s="61">
        <f ca="1">COUNTBLANK(INDIRECT("f428"))</f>
        <v>1</v>
      </c>
      <c r="AE428" s="61">
        <f ca="1">COUNTBLANK(INDIRECT("g428"))</f>
        <v>1</v>
      </c>
      <c r="AF428" s="61">
        <f ca="1">COUNTBLANK(INDIRECT("h428"))</f>
        <v>1</v>
      </c>
      <c r="AG428" s="61">
        <f ca="1">COUNTBLANK(INDIRECT("b428"))</f>
        <v>1</v>
      </c>
    </row>
    <row r="429" spans="1:33" x14ac:dyDescent="0.25">
      <c r="A429" s="2">
        <v>97</v>
      </c>
      <c r="B429" s="63"/>
      <c r="C429" s="56"/>
      <c r="D429" s="56"/>
      <c r="E429" s="56"/>
      <c r="F429" s="56"/>
      <c r="G429" s="56"/>
      <c r="H429" s="56"/>
      <c r="I429" s="110" t="str">
        <f ca="1">IF(AND(INDIRECT("H429")&gt;=INDIRECT("F429"),AA429=0,AB429=0,AC429=0,AF429=0),"Yes",IF(AND(INDIRECT("H429")&lt;INDIRECT("F429"),AA429=0,AB429=0,AC429=0,AF429=0),"No","N/A"))</f>
        <v>N/A</v>
      </c>
      <c r="J429" s="174" t="str">
        <f t="shared" ca="1" si="19"/>
        <v>No Error</v>
      </c>
      <c r="K429" s="174"/>
      <c r="L429" s="174"/>
      <c r="AA429" s="61">
        <f ca="1">COUNTBLANK(INDIRECT("C429"))</f>
        <v>1</v>
      </c>
      <c r="AB429" s="61">
        <f ca="1">COUNTBLANK(INDIRECT("d429"))</f>
        <v>1</v>
      </c>
      <c r="AC429" s="61">
        <f ca="1">COUNTBLANK(INDIRECT("e429"))</f>
        <v>1</v>
      </c>
      <c r="AD429" s="61">
        <f ca="1">COUNTBLANK(INDIRECT("f429"))</f>
        <v>1</v>
      </c>
      <c r="AE429" s="61">
        <f ca="1">COUNTBLANK(INDIRECT("g429"))</f>
        <v>1</v>
      </c>
      <c r="AF429" s="61">
        <f ca="1">COUNTBLANK(INDIRECT("h429"))</f>
        <v>1</v>
      </c>
      <c r="AG429" s="61">
        <f ca="1">COUNTBLANK(INDIRECT("b429"))</f>
        <v>1</v>
      </c>
    </row>
    <row r="430" spans="1:33" x14ac:dyDescent="0.25">
      <c r="A430" s="2">
        <v>98</v>
      </c>
      <c r="B430" s="63"/>
      <c r="C430" s="56"/>
      <c r="D430" s="56"/>
      <c r="E430" s="56"/>
      <c r="F430" s="56"/>
      <c r="G430" s="56"/>
      <c r="H430" s="56"/>
      <c r="I430" s="110" t="str">
        <f ca="1">IF(AND(INDIRECT("H430")&gt;=INDIRECT("F430"),AA430=0,AB430=0,AC430=0,AF430=0),"Yes",IF(AND(INDIRECT("H430")&lt;INDIRECT("F430"),AA430=0,AB430=0,AC430=0,AF430=0),"No","N/A"))</f>
        <v>N/A</v>
      </c>
      <c r="J430" s="174" t="str">
        <f t="shared" ca="1" si="19"/>
        <v>No Error</v>
      </c>
      <c r="K430" s="174"/>
      <c r="L430" s="174"/>
      <c r="AA430" s="61">
        <f ca="1">COUNTBLANK(INDIRECT("C430"))</f>
        <v>1</v>
      </c>
      <c r="AB430" s="61">
        <f ca="1">COUNTBLANK(INDIRECT("d430"))</f>
        <v>1</v>
      </c>
      <c r="AC430" s="61">
        <f ca="1">COUNTBLANK(INDIRECT("e430"))</f>
        <v>1</v>
      </c>
      <c r="AD430" s="61">
        <f ca="1">COUNTBLANK(INDIRECT("f430"))</f>
        <v>1</v>
      </c>
      <c r="AE430" s="61">
        <f ca="1">COUNTBLANK(INDIRECT("g430"))</f>
        <v>1</v>
      </c>
      <c r="AF430" s="61">
        <f ca="1">COUNTBLANK(INDIRECT("h430"))</f>
        <v>1</v>
      </c>
      <c r="AG430" s="61">
        <f ca="1">COUNTBLANK(INDIRECT("b430"))</f>
        <v>1</v>
      </c>
    </row>
    <row r="431" spans="1:33" x14ac:dyDescent="0.25">
      <c r="A431" s="2">
        <v>99</v>
      </c>
      <c r="B431" s="63"/>
      <c r="C431" s="56"/>
      <c r="D431" s="56"/>
      <c r="E431" s="56"/>
      <c r="F431" s="56"/>
      <c r="G431" s="56"/>
      <c r="H431" s="56"/>
      <c r="I431" s="110" t="str">
        <f ca="1">IF(AND(INDIRECT("H431")&gt;=INDIRECT("F431"),AA431=0,AB431=0,AC431=0,AF431=0),"Yes",IF(AND(INDIRECT("H431")&lt;INDIRECT("F431"),AA431=0,AB431=0,AC431=0,AF431=0),"No","N/A"))</f>
        <v>N/A</v>
      </c>
      <c r="J431" s="174" t="str">
        <f t="shared" ca="1" si="19"/>
        <v>No Error</v>
      </c>
      <c r="K431" s="174"/>
      <c r="L431" s="174"/>
      <c r="AA431" s="61">
        <f ca="1">COUNTBLANK(INDIRECT("C431"))</f>
        <v>1</v>
      </c>
      <c r="AB431" s="61">
        <f ca="1">COUNTBLANK(INDIRECT("d431"))</f>
        <v>1</v>
      </c>
      <c r="AC431" s="61">
        <f ca="1">COUNTBLANK(INDIRECT("e431"))</f>
        <v>1</v>
      </c>
      <c r="AD431" s="61">
        <f ca="1">COUNTBLANK(INDIRECT("f431"))</f>
        <v>1</v>
      </c>
      <c r="AE431" s="61">
        <f ca="1">COUNTBLANK(INDIRECT("g431"))</f>
        <v>1</v>
      </c>
      <c r="AF431" s="61">
        <f ca="1">COUNTBLANK(INDIRECT("h431"))</f>
        <v>1</v>
      </c>
      <c r="AG431" s="61">
        <f ca="1">COUNTBLANK(INDIRECT("b431"))</f>
        <v>1</v>
      </c>
    </row>
    <row r="432" spans="1:33" x14ac:dyDescent="0.25">
      <c r="A432" s="2">
        <v>100</v>
      </c>
      <c r="B432" s="63"/>
      <c r="C432" s="56"/>
      <c r="D432" s="56"/>
      <c r="E432" s="56"/>
      <c r="F432" s="56"/>
      <c r="G432" s="56"/>
      <c r="H432" s="56"/>
      <c r="I432" s="110" t="str">
        <f ca="1">IF(AND(INDIRECT("H432")&gt;=INDIRECT("F432"),AA432=0,AB432=0,AC432=0,AF432=0),"Yes",IF(AND(INDIRECT("H432")&lt;INDIRECT("F432"),AA432=0,AB432=0,AC432=0,AF432=0),"No","N/A"))</f>
        <v>N/A</v>
      </c>
      <c r="J432" s="174" t="str">
        <f t="shared" ca="1" si="19"/>
        <v>No Error</v>
      </c>
      <c r="K432" s="174"/>
      <c r="L432" s="174"/>
      <c r="AA432" s="61">
        <f ca="1">COUNTBLANK(INDIRECT("C432"))</f>
        <v>1</v>
      </c>
      <c r="AB432" s="61">
        <f ca="1">COUNTBLANK(INDIRECT("d432"))</f>
        <v>1</v>
      </c>
      <c r="AC432" s="61">
        <f ca="1">COUNTBLANK(INDIRECT("e432"))</f>
        <v>1</v>
      </c>
      <c r="AD432" s="61">
        <f ca="1">COUNTBLANK(INDIRECT("f432"))</f>
        <v>1</v>
      </c>
      <c r="AE432" s="61">
        <f ca="1">COUNTBLANK(INDIRECT("g432"))</f>
        <v>1</v>
      </c>
      <c r="AF432" s="61">
        <f ca="1">COUNTBLANK(INDIRECT("h432"))</f>
        <v>1</v>
      </c>
      <c r="AG432" s="61">
        <f ca="1">COUNTBLANK(INDIRECT("b432"))</f>
        <v>1</v>
      </c>
    </row>
    <row r="433" spans="1:33" x14ac:dyDescent="0.25">
      <c r="A433" s="2">
        <v>101</v>
      </c>
      <c r="B433" s="63"/>
      <c r="C433" s="56"/>
      <c r="D433" s="56"/>
      <c r="E433" s="56"/>
      <c r="F433" s="56"/>
      <c r="G433" s="56"/>
      <c r="H433" s="56"/>
      <c r="I433" s="110" t="str">
        <f ca="1">IF(AND(INDIRECT("H433")&gt;=INDIRECT("F433"),AA433=0,AB433=0,AC433=0,AF433=0),"Yes",IF(AND(INDIRECT("H433")&lt;INDIRECT("F433"),AA433=0,AB433=0,AC433=0,AF433=0),"No","N/A"))</f>
        <v>N/A</v>
      </c>
      <c r="J433" s="174" t="str">
        <f t="shared" ca="1" si="19"/>
        <v>No Error</v>
      </c>
      <c r="K433" s="174"/>
      <c r="L433" s="174"/>
      <c r="AA433" s="61">
        <f ca="1">COUNTBLANK(INDIRECT("C433"))</f>
        <v>1</v>
      </c>
      <c r="AB433" s="61">
        <f ca="1">COUNTBLANK(INDIRECT("d433"))</f>
        <v>1</v>
      </c>
      <c r="AC433" s="61">
        <f ca="1">COUNTBLANK(INDIRECT("e433"))</f>
        <v>1</v>
      </c>
      <c r="AD433" s="61">
        <f ca="1">COUNTBLANK(INDIRECT("f433"))</f>
        <v>1</v>
      </c>
      <c r="AE433" s="61">
        <f ca="1">COUNTBLANK(INDIRECT("g433"))</f>
        <v>1</v>
      </c>
      <c r="AF433" s="61">
        <f ca="1">COUNTBLANK(INDIRECT("h433"))</f>
        <v>1</v>
      </c>
      <c r="AG433" s="61">
        <f ca="1">COUNTBLANK(INDIRECT("b433"))</f>
        <v>1</v>
      </c>
    </row>
    <row r="434" spans="1:33" x14ac:dyDescent="0.25">
      <c r="A434" s="2">
        <v>102</v>
      </c>
      <c r="B434" s="63"/>
      <c r="C434" s="56"/>
      <c r="D434" s="56"/>
      <c r="E434" s="56"/>
      <c r="F434" s="56"/>
      <c r="G434" s="56"/>
      <c r="H434" s="56"/>
      <c r="I434" s="110" t="str">
        <f ca="1">IF(AND(INDIRECT("H434")&gt;=INDIRECT("F434"),AA434=0,AB434=0,AC434=0,AF434=0),"Yes",IF(AND(INDIRECT("H434")&lt;INDIRECT("F434"),AA434=0,AB434=0,AC434=0,AF434=0),"No","N/A"))</f>
        <v>N/A</v>
      </c>
      <c r="J434" s="174" t="str">
        <f t="shared" ca="1" si="19"/>
        <v>No Error</v>
      </c>
      <c r="K434" s="174"/>
      <c r="L434" s="174"/>
      <c r="AA434" s="61">
        <f ca="1">COUNTBLANK(INDIRECT("C434"))</f>
        <v>1</v>
      </c>
      <c r="AB434" s="61">
        <f ca="1">COUNTBLANK(INDIRECT("d434"))</f>
        <v>1</v>
      </c>
      <c r="AC434" s="61">
        <f ca="1">COUNTBLANK(INDIRECT("e434"))</f>
        <v>1</v>
      </c>
      <c r="AD434" s="61">
        <f ca="1">COUNTBLANK(INDIRECT("f434"))</f>
        <v>1</v>
      </c>
      <c r="AE434" s="61">
        <f ca="1">COUNTBLANK(INDIRECT("g434"))</f>
        <v>1</v>
      </c>
      <c r="AF434" s="61">
        <f ca="1">COUNTBLANK(INDIRECT("h434"))</f>
        <v>1</v>
      </c>
      <c r="AG434" s="61">
        <f ca="1">COUNTBLANK(INDIRECT("b434"))</f>
        <v>1</v>
      </c>
    </row>
    <row r="435" spans="1:33" x14ac:dyDescent="0.25">
      <c r="A435" s="2">
        <v>103</v>
      </c>
      <c r="B435" s="63"/>
      <c r="C435" s="56"/>
      <c r="D435" s="56"/>
      <c r="E435" s="56"/>
      <c r="F435" s="56"/>
      <c r="G435" s="56"/>
      <c r="H435" s="56"/>
      <c r="I435" s="110" t="str">
        <f ca="1">IF(AND(INDIRECT("H435")&gt;=INDIRECT("F435"),AA435=0,AB435=0,AC435=0,AF435=0),"Yes",IF(AND(INDIRECT("H435")&lt;INDIRECT("F435"),AA435=0,AB435=0,AC435=0,AF435=0),"No","N/A"))</f>
        <v>N/A</v>
      </c>
      <c r="J435" s="174" t="str">
        <f t="shared" ca="1" si="19"/>
        <v>No Error</v>
      </c>
      <c r="K435" s="174"/>
      <c r="L435" s="174"/>
      <c r="AA435" s="61">
        <f ca="1">COUNTBLANK(INDIRECT("C435"))</f>
        <v>1</v>
      </c>
      <c r="AB435" s="61">
        <f ca="1">COUNTBLANK(INDIRECT("d435"))</f>
        <v>1</v>
      </c>
      <c r="AC435" s="61">
        <f ca="1">COUNTBLANK(INDIRECT("e435"))</f>
        <v>1</v>
      </c>
      <c r="AD435" s="61">
        <f ca="1">COUNTBLANK(INDIRECT("f435"))</f>
        <v>1</v>
      </c>
      <c r="AE435" s="61">
        <f ca="1">COUNTBLANK(INDIRECT("g435"))</f>
        <v>1</v>
      </c>
      <c r="AF435" s="61">
        <f ca="1">COUNTBLANK(INDIRECT("h435"))</f>
        <v>1</v>
      </c>
      <c r="AG435" s="61">
        <f ca="1">COUNTBLANK(INDIRECT("b435"))</f>
        <v>1</v>
      </c>
    </row>
    <row r="436" spans="1:33" x14ac:dyDescent="0.25">
      <c r="A436" s="2">
        <v>104</v>
      </c>
      <c r="B436" s="63"/>
      <c r="C436" s="56"/>
      <c r="D436" s="56"/>
      <c r="E436" s="56"/>
      <c r="F436" s="56"/>
      <c r="G436" s="56"/>
      <c r="H436" s="56"/>
      <c r="I436" s="110" t="str">
        <f ca="1">IF(AND(INDIRECT("H436")&gt;=INDIRECT("F436"),AA436=0,AB436=0,AC436=0,AF436=0),"Yes",IF(AND(INDIRECT("H436")&lt;INDIRECT("F436"),AA436=0,AB436=0,AC436=0,AF436=0),"No","N/A"))</f>
        <v>N/A</v>
      </c>
      <c r="J436" s="174" t="str">
        <f t="shared" ca="1" si="19"/>
        <v>No Error</v>
      </c>
      <c r="K436" s="174"/>
      <c r="L436" s="174"/>
      <c r="AA436" s="61">
        <f ca="1">COUNTBLANK(INDIRECT("C436"))</f>
        <v>1</v>
      </c>
      <c r="AB436" s="61">
        <f ca="1">COUNTBLANK(INDIRECT("d436"))</f>
        <v>1</v>
      </c>
      <c r="AC436" s="61">
        <f ca="1">COUNTBLANK(INDIRECT("e436"))</f>
        <v>1</v>
      </c>
      <c r="AD436" s="61">
        <f ca="1">COUNTBLANK(INDIRECT("f436"))</f>
        <v>1</v>
      </c>
      <c r="AE436" s="61">
        <f ca="1">COUNTBLANK(INDIRECT("g436"))</f>
        <v>1</v>
      </c>
      <c r="AF436" s="61">
        <f ca="1">COUNTBLANK(INDIRECT("h436"))</f>
        <v>1</v>
      </c>
      <c r="AG436" s="61">
        <f ca="1">COUNTBLANK(INDIRECT("b436"))</f>
        <v>1</v>
      </c>
    </row>
    <row r="437" spans="1:33" x14ac:dyDescent="0.25">
      <c r="A437" s="2">
        <v>105</v>
      </c>
      <c r="B437" s="63"/>
      <c r="C437" s="56"/>
      <c r="D437" s="56"/>
      <c r="E437" s="56"/>
      <c r="F437" s="56"/>
      <c r="G437" s="56"/>
      <c r="H437" s="56"/>
      <c r="I437" s="110" t="str">
        <f ca="1">IF(AND(INDIRECT("H437")&gt;=INDIRECT("F437"),AA437=0,AB437=0,AC437=0,AF437=0),"Yes",IF(AND(INDIRECT("H437")&lt;INDIRECT("F437"),AA437=0,AB437=0,AC437=0,AF437=0),"No","N/A"))</f>
        <v>N/A</v>
      </c>
      <c r="J437" s="174" t="str">
        <f t="shared" ca="1" si="19"/>
        <v>No Error</v>
      </c>
      <c r="K437" s="174"/>
      <c r="L437" s="174"/>
      <c r="AA437" s="61">
        <f ca="1">COUNTBLANK(INDIRECT("C437"))</f>
        <v>1</v>
      </c>
      <c r="AB437" s="61">
        <f ca="1">COUNTBLANK(INDIRECT("d437"))</f>
        <v>1</v>
      </c>
      <c r="AC437" s="61">
        <f ca="1">COUNTBLANK(INDIRECT("e437"))</f>
        <v>1</v>
      </c>
      <c r="AD437" s="61">
        <f ca="1">COUNTBLANK(INDIRECT("f437"))</f>
        <v>1</v>
      </c>
      <c r="AE437" s="61">
        <f ca="1">COUNTBLANK(INDIRECT("g437"))</f>
        <v>1</v>
      </c>
      <c r="AF437" s="61">
        <f ca="1">COUNTBLANK(INDIRECT("h437"))</f>
        <v>1</v>
      </c>
      <c r="AG437" s="61">
        <f ca="1">COUNTBLANK(INDIRECT("b437"))</f>
        <v>1</v>
      </c>
    </row>
    <row r="438" spans="1:33" x14ac:dyDescent="0.25">
      <c r="A438" s="2">
        <v>106</v>
      </c>
      <c r="B438" s="63"/>
      <c r="C438" s="56"/>
      <c r="D438" s="56"/>
      <c r="E438" s="56"/>
      <c r="F438" s="56"/>
      <c r="G438" s="56"/>
      <c r="H438" s="56"/>
      <c r="I438" s="110" t="str">
        <f ca="1">IF(AND(INDIRECT("H438")&gt;=INDIRECT("F438"),AA438=0,AB438=0,AC438=0,AF438=0),"Yes",IF(AND(INDIRECT("H438")&lt;INDIRECT("F438"),AA438=0,AB438=0,AC438=0,AF438=0),"No","N/A"))</f>
        <v>N/A</v>
      </c>
      <c r="J438" s="174" t="str">
        <f t="shared" ca="1" si="19"/>
        <v>No Error</v>
      </c>
      <c r="K438" s="174"/>
      <c r="L438" s="174"/>
      <c r="AA438" s="61">
        <f ca="1">COUNTBLANK(INDIRECT("C438"))</f>
        <v>1</v>
      </c>
      <c r="AB438" s="61">
        <f ca="1">COUNTBLANK(INDIRECT("d438"))</f>
        <v>1</v>
      </c>
      <c r="AC438" s="61">
        <f ca="1">COUNTBLANK(INDIRECT("e438"))</f>
        <v>1</v>
      </c>
      <c r="AD438" s="61">
        <f ca="1">COUNTBLANK(INDIRECT("f438"))</f>
        <v>1</v>
      </c>
      <c r="AE438" s="61">
        <f ca="1">COUNTBLANK(INDIRECT("g438"))</f>
        <v>1</v>
      </c>
      <c r="AF438" s="61">
        <f ca="1">COUNTBLANK(INDIRECT("h438"))</f>
        <v>1</v>
      </c>
      <c r="AG438" s="61">
        <f ca="1">COUNTBLANK(INDIRECT("b438"))</f>
        <v>1</v>
      </c>
    </row>
    <row r="439" spans="1:33" x14ac:dyDescent="0.25">
      <c r="A439" s="2">
        <v>107</v>
      </c>
      <c r="B439" s="63"/>
      <c r="C439" s="56"/>
      <c r="D439" s="56"/>
      <c r="E439" s="56"/>
      <c r="F439" s="56"/>
      <c r="G439" s="56"/>
      <c r="H439" s="56"/>
      <c r="I439" s="110" t="str">
        <f ca="1">IF(AND(INDIRECT("H439")&gt;=INDIRECT("F439"),AA439=0,AB439=0,AC439=0,AF439=0),"Yes",IF(AND(INDIRECT("H439")&lt;INDIRECT("F439"),AA439=0,AB439=0,AC439=0,AF439=0),"No","N/A"))</f>
        <v>N/A</v>
      </c>
      <c r="J439" s="174" t="str">
        <f t="shared" ca="1" si="19"/>
        <v>No Error</v>
      </c>
      <c r="K439" s="174"/>
      <c r="L439" s="174"/>
      <c r="AA439" s="61">
        <f ca="1">COUNTBLANK(INDIRECT("C439"))</f>
        <v>1</v>
      </c>
      <c r="AB439" s="61">
        <f ca="1">COUNTBLANK(INDIRECT("d439"))</f>
        <v>1</v>
      </c>
      <c r="AC439" s="61">
        <f ca="1">COUNTBLANK(INDIRECT("e439"))</f>
        <v>1</v>
      </c>
      <c r="AD439" s="61">
        <f ca="1">COUNTBLANK(INDIRECT("f439"))</f>
        <v>1</v>
      </c>
      <c r="AE439" s="61">
        <f ca="1">COUNTBLANK(INDIRECT("g439"))</f>
        <v>1</v>
      </c>
      <c r="AF439" s="61">
        <f ca="1">COUNTBLANK(INDIRECT("h439"))</f>
        <v>1</v>
      </c>
      <c r="AG439" s="61">
        <f ca="1">COUNTBLANK(INDIRECT("b439"))</f>
        <v>1</v>
      </c>
    </row>
    <row r="440" spans="1:33" x14ac:dyDescent="0.25">
      <c r="A440" s="2">
        <v>108</v>
      </c>
      <c r="B440" s="63"/>
      <c r="C440" s="56"/>
      <c r="D440" s="56"/>
      <c r="E440" s="56"/>
      <c r="F440" s="56"/>
      <c r="G440" s="56"/>
      <c r="H440" s="56"/>
      <c r="I440" s="110" t="str">
        <f ca="1">IF(AND(INDIRECT("H440")&gt;=INDIRECT("F440"),AA440=0,AB440=0,AC440=0,AF440=0),"Yes",IF(AND(INDIRECT("H440")&lt;INDIRECT("F440"),AA440=0,AB440=0,AC440=0,AF440=0),"No","N/A"))</f>
        <v>N/A</v>
      </c>
      <c r="J440" s="174" t="str">
        <f t="shared" ca="1" si="19"/>
        <v>No Error</v>
      </c>
      <c r="K440" s="174"/>
      <c r="L440" s="174"/>
      <c r="AA440" s="61">
        <f ca="1">COUNTBLANK(INDIRECT("C440"))</f>
        <v>1</v>
      </c>
      <c r="AB440" s="61">
        <f ca="1">COUNTBLANK(INDIRECT("d440"))</f>
        <v>1</v>
      </c>
      <c r="AC440" s="61">
        <f ca="1">COUNTBLANK(INDIRECT("e440"))</f>
        <v>1</v>
      </c>
      <c r="AD440" s="61">
        <f ca="1">COUNTBLANK(INDIRECT("f440"))</f>
        <v>1</v>
      </c>
      <c r="AE440" s="61">
        <f ca="1">COUNTBLANK(INDIRECT("g440"))</f>
        <v>1</v>
      </c>
      <c r="AF440" s="61">
        <f ca="1">COUNTBLANK(INDIRECT("h440"))</f>
        <v>1</v>
      </c>
      <c r="AG440" s="61">
        <f ca="1">COUNTBLANK(INDIRECT("b440"))</f>
        <v>1</v>
      </c>
    </row>
    <row r="441" spans="1:33" x14ac:dyDescent="0.25">
      <c r="A441" s="2">
        <v>109</v>
      </c>
      <c r="B441" s="63"/>
      <c r="C441" s="56"/>
      <c r="D441" s="56"/>
      <c r="E441" s="56"/>
      <c r="F441" s="56"/>
      <c r="G441" s="56"/>
      <c r="H441" s="56"/>
      <c r="I441" s="110" t="str">
        <f ca="1">IF(AND(INDIRECT("H441")&gt;=INDIRECT("F441"),AA441=0,AB441=0,AC441=0,AF441=0),"Yes",IF(AND(INDIRECT("H441")&lt;INDIRECT("F441"),AA441=0,AB441=0,AC441=0,AF441=0),"No","N/A"))</f>
        <v>N/A</v>
      </c>
      <c r="J441" s="174" t="str">
        <f t="shared" ca="1" si="19"/>
        <v>No Error</v>
      </c>
      <c r="K441" s="174"/>
      <c r="L441" s="174"/>
      <c r="AA441" s="61">
        <f ca="1">COUNTBLANK(INDIRECT("C441"))</f>
        <v>1</v>
      </c>
      <c r="AB441" s="61">
        <f ca="1">COUNTBLANK(INDIRECT("d441"))</f>
        <v>1</v>
      </c>
      <c r="AC441" s="61">
        <f ca="1">COUNTBLANK(INDIRECT("e441"))</f>
        <v>1</v>
      </c>
      <c r="AD441" s="61">
        <f ca="1">COUNTBLANK(INDIRECT("f441"))</f>
        <v>1</v>
      </c>
      <c r="AE441" s="61">
        <f ca="1">COUNTBLANK(INDIRECT("g441"))</f>
        <v>1</v>
      </c>
      <c r="AF441" s="61">
        <f ca="1">COUNTBLANK(INDIRECT("h441"))</f>
        <v>1</v>
      </c>
      <c r="AG441" s="61">
        <f ca="1">COUNTBLANK(INDIRECT("b441"))</f>
        <v>1</v>
      </c>
    </row>
    <row r="442" spans="1:33" x14ac:dyDescent="0.25">
      <c r="A442" s="2">
        <v>110</v>
      </c>
      <c r="B442" s="63"/>
      <c r="C442" s="56"/>
      <c r="D442" s="56"/>
      <c r="E442" s="56"/>
      <c r="F442" s="56"/>
      <c r="G442" s="56"/>
      <c r="H442" s="56"/>
      <c r="I442" s="110" t="str">
        <f ca="1">IF(AND(INDIRECT("H442")&gt;=INDIRECT("F442"),AA442=0,AB442=0,AC442=0,AF442=0),"Yes",IF(AND(INDIRECT("H442")&lt;INDIRECT("F442"),AA442=0,AB442=0,AC442=0,AF442=0),"No","N/A"))</f>
        <v>N/A</v>
      </c>
      <c r="J442" s="174" t="str">
        <f t="shared" ca="1" si="19"/>
        <v>No Error</v>
      </c>
      <c r="K442" s="174"/>
      <c r="L442" s="174"/>
      <c r="AA442" s="61">
        <f ca="1">COUNTBLANK(INDIRECT("C442"))</f>
        <v>1</v>
      </c>
      <c r="AB442" s="61">
        <f ca="1">COUNTBLANK(INDIRECT("d442"))</f>
        <v>1</v>
      </c>
      <c r="AC442" s="61">
        <f ca="1">COUNTBLANK(INDIRECT("e442"))</f>
        <v>1</v>
      </c>
      <c r="AD442" s="61">
        <f ca="1">COUNTBLANK(INDIRECT("f442"))</f>
        <v>1</v>
      </c>
      <c r="AE442" s="61">
        <f ca="1">COUNTBLANK(INDIRECT("g442"))</f>
        <v>1</v>
      </c>
      <c r="AF442" s="61">
        <f ca="1">COUNTBLANK(INDIRECT("h442"))</f>
        <v>1</v>
      </c>
      <c r="AG442" s="61">
        <f ca="1">COUNTBLANK(INDIRECT("b442"))</f>
        <v>1</v>
      </c>
    </row>
    <row r="443" spans="1:33" x14ac:dyDescent="0.25">
      <c r="A443" s="2">
        <v>111</v>
      </c>
      <c r="B443" s="63"/>
      <c r="C443" s="56"/>
      <c r="D443" s="56"/>
      <c r="E443" s="56"/>
      <c r="F443" s="56"/>
      <c r="G443" s="56"/>
      <c r="H443" s="56"/>
      <c r="I443" s="110" t="str">
        <f ca="1">IF(AND(INDIRECT("H443")&gt;=INDIRECT("F443"),AA443=0,AB443=0,AC443=0,AF443=0),"Yes",IF(AND(INDIRECT("H443")&lt;INDIRECT("F443"),AA443=0,AB443=0,AC443=0,AF443=0),"No","N/A"))</f>
        <v>N/A</v>
      </c>
      <c r="J443" s="174" t="str">
        <f t="shared" ca="1" si="19"/>
        <v>No Error</v>
      </c>
      <c r="K443" s="174"/>
      <c r="L443" s="174"/>
      <c r="AA443" s="61">
        <f ca="1">COUNTBLANK(INDIRECT("C443"))</f>
        <v>1</v>
      </c>
      <c r="AB443" s="61">
        <f ca="1">COUNTBLANK(INDIRECT("d443"))</f>
        <v>1</v>
      </c>
      <c r="AC443" s="61">
        <f ca="1">COUNTBLANK(INDIRECT("e443"))</f>
        <v>1</v>
      </c>
      <c r="AD443" s="61">
        <f ca="1">COUNTBLANK(INDIRECT("f443"))</f>
        <v>1</v>
      </c>
      <c r="AE443" s="61">
        <f ca="1">COUNTBLANK(INDIRECT("g443"))</f>
        <v>1</v>
      </c>
      <c r="AF443" s="61">
        <f ca="1">COUNTBLANK(INDIRECT("h443"))</f>
        <v>1</v>
      </c>
      <c r="AG443" s="61">
        <f ca="1">COUNTBLANK(INDIRECT("b443"))</f>
        <v>1</v>
      </c>
    </row>
    <row r="444" spans="1:33" x14ac:dyDescent="0.25">
      <c r="A444" s="2">
        <v>112</v>
      </c>
      <c r="B444" s="63"/>
      <c r="C444" s="56"/>
      <c r="D444" s="56"/>
      <c r="E444" s="56"/>
      <c r="F444" s="56"/>
      <c r="G444" s="56"/>
      <c r="H444" s="56"/>
      <c r="I444" s="110" t="str">
        <f ca="1">IF(AND(INDIRECT("H444")&gt;=INDIRECT("F444"),AA444=0,AB444=0,AC444=0,AF444=0),"Yes",IF(AND(INDIRECT("H444")&lt;INDIRECT("F444"),AA444=0,AB444=0,AC444=0,AF444=0),"No","N/A"))</f>
        <v>N/A</v>
      </c>
      <c r="J444" s="174" t="str">
        <f t="shared" ca="1" si="19"/>
        <v>No Error</v>
      </c>
      <c r="K444" s="174"/>
      <c r="L444" s="174"/>
      <c r="AA444" s="61">
        <f ca="1">COUNTBLANK(INDIRECT("C444"))</f>
        <v>1</v>
      </c>
      <c r="AB444" s="61">
        <f ca="1">COUNTBLANK(INDIRECT("d444"))</f>
        <v>1</v>
      </c>
      <c r="AC444" s="61">
        <f ca="1">COUNTBLANK(INDIRECT("e444"))</f>
        <v>1</v>
      </c>
      <c r="AD444" s="61">
        <f ca="1">COUNTBLANK(INDIRECT("f444"))</f>
        <v>1</v>
      </c>
      <c r="AE444" s="61">
        <f ca="1">COUNTBLANK(INDIRECT("g444"))</f>
        <v>1</v>
      </c>
      <c r="AF444" s="61">
        <f ca="1">COUNTBLANK(INDIRECT("h444"))</f>
        <v>1</v>
      </c>
      <c r="AG444" s="61">
        <f ca="1">COUNTBLANK(INDIRECT("b444"))</f>
        <v>1</v>
      </c>
    </row>
    <row r="445" spans="1:33" x14ac:dyDescent="0.25">
      <c r="A445" s="2">
        <v>113</v>
      </c>
      <c r="B445" s="63"/>
      <c r="C445" s="56"/>
      <c r="D445" s="56"/>
      <c r="E445" s="56"/>
      <c r="F445" s="56"/>
      <c r="G445" s="56"/>
      <c r="H445" s="56"/>
      <c r="I445" s="110" t="str">
        <f ca="1">IF(AND(INDIRECT("H445")&gt;=INDIRECT("F445"),AA445=0,AB445=0,AC445=0,AF445=0),"Yes",IF(AND(INDIRECT("H445")&lt;INDIRECT("F445"),AA445=0,AB445=0,AC445=0,AF445=0),"No","N/A"))</f>
        <v>N/A</v>
      </c>
      <c r="J445" s="174" t="str">
        <f t="shared" ca="1" si="19"/>
        <v>No Error</v>
      </c>
      <c r="K445" s="174"/>
      <c r="L445" s="174"/>
      <c r="AA445" s="61">
        <f ca="1">COUNTBLANK(INDIRECT("C445"))</f>
        <v>1</v>
      </c>
      <c r="AB445" s="61">
        <f ca="1">COUNTBLANK(INDIRECT("d445"))</f>
        <v>1</v>
      </c>
      <c r="AC445" s="61">
        <f ca="1">COUNTBLANK(INDIRECT("e445"))</f>
        <v>1</v>
      </c>
      <c r="AD445" s="61">
        <f ca="1">COUNTBLANK(INDIRECT("f445"))</f>
        <v>1</v>
      </c>
      <c r="AE445" s="61">
        <f ca="1">COUNTBLANK(INDIRECT("g445"))</f>
        <v>1</v>
      </c>
      <c r="AF445" s="61">
        <f ca="1">COUNTBLANK(INDIRECT("h445"))</f>
        <v>1</v>
      </c>
      <c r="AG445" s="61">
        <f ca="1">COUNTBLANK(INDIRECT("b445"))</f>
        <v>1</v>
      </c>
    </row>
    <row r="446" spans="1:33" x14ac:dyDescent="0.25">
      <c r="A446" s="2">
        <v>114</v>
      </c>
      <c r="B446" s="63"/>
      <c r="C446" s="56"/>
      <c r="D446" s="56"/>
      <c r="E446" s="56"/>
      <c r="F446" s="56"/>
      <c r="G446" s="56"/>
      <c r="H446" s="56"/>
      <c r="I446" s="110" t="str">
        <f ca="1">IF(AND(INDIRECT("H446")&gt;=INDIRECT("F446"),AA446=0,AB446=0,AC446=0,AF446=0),"Yes",IF(AND(INDIRECT("H446")&lt;INDIRECT("F446"),AA446=0,AB446=0,AC446=0,AF446=0),"No","N/A"))</f>
        <v>N/A</v>
      </c>
      <c r="J446" s="174" t="str">
        <f t="shared" ca="1" si="19"/>
        <v>No Error</v>
      </c>
      <c r="K446" s="174"/>
      <c r="L446" s="174"/>
      <c r="AA446" s="61">
        <f ca="1">COUNTBLANK(INDIRECT("C446"))</f>
        <v>1</v>
      </c>
      <c r="AB446" s="61">
        <f ca="1">COUNTBLANK(INDIRECT("d446"))</f>
        <v>1</v>
      </c>
      <c r="AC446" s="61">
        <f ca="1">COUNTBLANK(INDIRECT("e446"))</f>
        <v>1</v>
      </c>
      <c r="AD446" s="61">
        <f ca="1">COUNTBLANK(INDIRECT("f446"))</f>
        <v>1</v>
      </c>
      <c r="AE446" s="61">
        <f ca="1">COUNTBLANK(INDIRECT("g446"))</f>
        <v>1</v>
      </c>
      <c r="AF446" s="61">
        <f ca="1">COUNTBLANK(INDIRECT("h446"))</f>
        <v>1</v>
      </c>
      <c r="AG446" s="61">
        <f ca="1">COUNTBLANK(INDIRECT("b446"))</f>
        <v>1</v>
      </c>
    </row>
    <row r="447" spans="1:33" x14ac:dyDescent="0.25">
      <c r="A447" s="2">
        <v>115</v>
      </c>
      <c r="B447" s="63"/>
      <c r="C447" s="56"/>
      <c r="D447" s="56"/>
      <c r="E447" s="56"/>
      <c r="F447" s="56"/>
      <c r="G447" s="56"/>
      <c r="H447" s="56"/>
      <c r="I447" s="110" t="str">
        <f ca="1">IF(AND(INDIRECT("H447")&gt;=INDIRECT("F447"),AA447=0,AB447=0,AC447=0,AF447=0),"Yes",IF(AND(INDIRECT("H447")&lt;INDIRECT("F447"),AA447=0,AB447=0,AC447=0,AF447=0),"No","N/A"))</f>
        <v>N/A</v>
      </c>
      <c r="J447" s="174" t="str">
        <f t="shared" ca="1" si="19"/>
        <v>No Error</v>
      </c>
      <c r="K447" s="174"/>
      <c r="L447" s="174"/>
      <c r="AA447" s="61">
        <f ca="1">COUNTBLANK(INDIRECT("C447"))</f>
        <v>1</v>
      </c>
      <c r="AB447" s="61">
        <f ca="1">COUNTBLANK(INDIRECT("d447"))</f>
        <v>1</v>
      </c>
      <c r="AC447" s="61">
        <f ca="1">COUNTBLANK(INDIRECT("e447"))</f>
        <v>1</v>
      </c>
      <c r="AD447" s="61">
        <f ca="1">COUNTBLANK(INDIRECT("f447"))</f>
        <v>1</v>
      </c>
      <c r="AE447" s="61">
        <f ca="1">COUNTBLANK(INDIRECT("g447"))</f>
        <v>1</v>
      </c>
      <c r="AF447" s="61">
        <f ca="1">COUNTBLANK(INDIRECT("h447"))</f>
        <v>1</v>
      </c>
      <c r="AG447" s="61">
        <f ca="1">COUNTBLANK(INDIRECT("b447"))</f>
        <v>1</v>
      </c>
    </row>
    <row r="448" spans="1:33" x14ac:dyDescent="0.25">
      <c r="A448" s="2">
        <v>116</v>
      </c>
      <c r="B448" s="63"/>
      <c r="C448" s="56"/>
      <c r="D448" s="56"/>
      <c r="E448" s="56"/>
      <c r="F448" s="56"/>
      <c r="G448" s="56"/>
      <c r="H448" s="56"/>
      <c r="I448" s="110" t="str">
        <f ca="1">IF(AND(INDIRECT("H448")&gt;=INDIRECT("F448"),AA448=0,AB448=0,AC448=0,AF448=0),"Yes",IF(AND(INDIRECT("H448")&lt;INDIRECT("F448"),AA448=0,AB448=0,AC448=0,AF448=0),"No","N/A"))</f>
        <v>N/A</v>
      </c>
      <c r="J448" s="174" t="str">
        <f t="shared" ca="1" si="19"/>
        <v>No Error</v>
      </c>
      <c r="K448" s="174"/>
      <c r="L448" s="174"/>
      <c r="AA448" s="61">
        <f ca="1">COUNTBLANK(INDIRECT("C448"))</f>
        <v>1</v>
      </c>
      <c r="AB448" s="61">
        <f ca="1">COUNTBLANK(INDIRECT("d448"))</f>
        <v>1</v>
      </c>
      <c r="AC448" s="61">
        <f ca="1">COUNTBLANK(INDIRECT("e448"))</f>
        <v>1</v>
      </c>
      <c r="AD448" s="61">
        <f ca="1">COUNTBLANK(INDIRECT("f448"))</f>
        <v>1</v>
      </c>
      <c r="AE448" s="61">
        <f ca="1">COUNTBLANK(INDIRECT("g448"))</f>
        <v>1</v>
      </c>
      <c r="AF448" s="61">
        <f ca="1">COUNTBLANK(INDIRECT("h448"))</f>
        <v>1</v>
      </c>
      <c r="AG448" s="61">
        <f ca="1">COUNTBLANK(INDIRECT("b448"))</f>
        <v>1</v>
      </c>
    </row>
    <row r="449" spans="1:33" x14ac:dyDescent="0.25">
      <c r="A449" s="2">
        <v>117</v>
      </c>
      <c r="B449" s="63"/>
      <c r="C449" s="56"/>
      <c r="D449" s="56"/>
      <c r="E449" s="56"/>
      <c r="F449" s="56"/>
      <c r="G449" s="56"/>
      <c r="H449" s="56"/>
      <c r="I449" s="110" t="str">
        <f ca="1">IF(AND(INDIRECT("H449")&gt;=INDIRECT("F449"),AA449=0,AB449=0,AC449=0,AF449=0),"Yes",IF(AND(INDIRECT("H449")&lt;INDIRECT("F449"),AA449=0,AB449=0,AC449=0,AF449=0),"No","N/A"))</f>
        <v>N/A</v>
      </c>
      <c r="J449" s="174" t="str">
        <f t="shared" ca="1" si="19"/>
        <v>No Error</v>
      </c>
      <c r="K449" s="174"/>
      <c r="L449" s="174"/>
      <c r="AA449" s="61">
        <f ca="1">COUNTBLANK(INDIRECT("C449"))</f>
        <v>1</v>
      </c>
      <c r="AB449" s="61">
        <f ca="1">COUNTBLANK(INDIRECT("d449"))</f>
        <v>1</v>
      </c>
      <c r="AC449" s="61">
        <f ca="1">COUNTBLANK(INDIRECT("e449"))</f>
        <v>1</v>
      </c>
      <c r="AD449" s="61">
        <f ca="1">COUNTBLANK(INDIRECT("f449"))</f>
        <v>1</v>
      </c>
      <c r="AE449" s="61">
        <f ca="1">COUNTBLANK(INDIRECT("g449"))</f>
        <v>1</v>
      </c>
      <c r="AF449" s="61">
        <f ca="1">COUNTBLANK(INDIRECT("h449"))</f>
        <v>1</v>
      </c>
      <c r="AG449" s="61">
        <f ca="1">COUNTBLANK(INDIRECT("b449"))</f>
        <v>1</v>
      </c>
    </row>
    <row r="450" spans="1:33" x14ac:dyDescent="0.25">
      <c r="A450" s="2">
        <v>118</v>
      </c>
      <c r="B450" s="63"/>
      <c r="C450" s="56"/>
      <c r="D450" s="56"/>
      <c r="E450" s="56"/>
      <c r="F450" s="56"/>
      <c r="G450" s="56"/>
      <c r="H450" s="56"/>
      <c r="I450" s="110" t="str">
        <f ca="1">IF(AND(INDIRECT("H450")&gt;=INDIRECT("F450"),AA450=0,AB450=0,AC450=0,AF450=0),"Yes",IF(AND(INDIRECT("H450")&lt;INDIRECT("F450"),AA450=0,AB450=0,AC450=0,AF450=0),"No","N/A"))</f>
        <v>N/A</v>
      </c>
      <c r="J450" s="174" t="str">
        <f t="shared" ca="1" si="19"/>
        <v>No Error</v>
      </c>
      <c r="K450" s="174"/>
      <c r="L450" s="174"/>
      <c r="AA450" s="61">
        <f ca="1">COUNTBLANK(INDIRECT("C450"))</f>
        <v>1</v>
      </c>
      <c r="AB450" s="61">
        <f ca="1">COUNTBLANK(INDIRECT("d450"))</f>
        <v>1</v>
      </c>
      <c r="AC450" s="61">
        <f ca="1">COUNTBLANK(INDIRECT("e450"))</f>
        <v>1</v>
      </c>
      <c r="AD450" s="61">
        <f ca="1">COUNTBLANK(INDIRECT("f450"))</f>
        <v>1</v>
      </c>
      <c r="AE450" s="61">
        <f ca="1">COUNTBLANK(INDIRECT("g450"))</f>
        <v>1</v>
      </c>
      <c r="AF450" s="61">
        <f ca="1">COUNTBLANK(INDIRECT("h450"))</f>
        <v>1</v>
      </c>
      <c r="AG450" s="61">
        <f ca="1">COUNTBLANK(INDIRECT("b450"))</f>
        <v>1</v>
      </c>
    </row>
    <row r="451" spans="1:33" x14ac:dyDescent="0.25">
      <c r="A451" s="2">
        <v>119</v>
      </c>
      <c r="B451" s="63"/>
      <c r="C451" s="56"/>
      <c r="D451" s="56"/>
      <c r="E451" s="56"/>
      <c r="F451" s="56"/>
      <c r="G451" s="56"/>
      <c r="H451" s="56"/>
      <c r="I451" s="110" t="str">
        <f ca="1">IF(AND(INDIRECT("H451")&gt;=INDIRECT("F451"),AA451=0,AB451=0,AC451=0,AF451=0),"Yes",IF(AND(INDIRECT("H451")&lt;INDIRECT("F451"),AA451=0,AB451=0,AC451=0,AF451=0),"No","N/A"))</f>
        <v>N/A</v>
      </c>
      <c r="J451" s="174" t="str">
        <f t="shared" ca="1" si="19"/>
        <v>No Error</v>
      </c>
      <c r="K451" s="174"/>
      <c r="L451" s="174"/>
      <c r="AA451" s="61">
        <f ca="1">COUNTBLANK(INDIRECT("C451"))</f>
        <v>1</v>
      </c>
      <c r="AB451" s="61">
        <f ca="1">COUNTBLANK(INDIRECT("d451"))</f>
        <v>1</v>
      </c>
      <c r="AC451" s="61">
        <f ca="1">COUNTBLANK(INDIRECT("e451"))</f>
        <v>1</v>
      </c>
      <c r="AD451" s="61">
        <f ca="1">COUNTBLANK(INDIRECT("f451"))</f>
        <v>1</v>
      </c>
      <c r="AE451" s="61">
        <f ca="1">COUNTBLANK(INDIRECT("g451"))</f>
        <v>1</v>
      </c>
      <c r="AF451" s="61">
        <f ca="1">COUNTBLANK(INDIRECT("h451"))</f>
        <v>1</v>
      </c>
      <c r="AG451" s="61">
        <f ca="1">COUNTBLANK(INDIRECT("b451"))</f>
        <v>1</v>
      </c>
    </row>
    <row r="452" spans="1:33" x14ac:dyDescent="0.25">
      <c r="A452" s="2">
        <v>120</v>
      </c>
      <c r="B452" s="63"/>
      <c r="C452" s="56"/>
      <c r="D452" s="56"/>
      <c r="E452" s="56"/>
      <c r="F452" s="56"/>
      <c r="G452" s="56"/>
      <c r="H452" s="56"/>
      <c r="I452" s="110" t="str">
        <f ca="1">IF(AND(INDIRECT("H452")&gt;=INDIRECT("F452"),AA452=0,AB452=0,AC452=0,AF452=0),"Yes",IF(AND(INDIRECT("H452")&lt;INDIRECT("F452"),AA452=0,AB452=0,AC452=0,AF452=0),"No","N/A"))</f>
        <v>N/A</v>
      </c>
      <c r="J452" s="174" t="str">
        <f t="shared" ca="1" si="19"/>
        <v>No Error</v>
      </c>
      <c r="K452" s="174"/>
      <c r="L452" s="174"/>
      <c r="AA452" s="61">
        <f ca="1">COUNTBLANK(INDIRECT("C452"))</f>
        <v>1</v>
      </c>
      <c r="AB452" s="61">
        <f ca="1">COUNTBLANK(INDIRECT("d452"))</f>
        <v>1</v>
      </c>
      <c r="AC452" s="61">
        <f ca="1">COUNTBLANK(INDIRECT("e452"))</f>
        <v>1</v>
      </c>
      <c r="AD452" s="61">
        <f ca="1">COUNTBLANK(INDIRECT("f452"))</f>
        <v>1</v>
      </c>
      <c r="AE452" s="61">
        <f ca="1">COUNTBLANK(INDIRECT("g452"))</f>
        <v>1</v>
      </c>
      <c r="AF452" s="61">
        <f ca="1">COUNTBLANK(INDIRECT("h452"))</f>
        <v>1</v>
      </c>
      <c r="AG452" s="61">
        <f ca="1">COUNTBLANK(INDIRECT("b452"))</f>
        <v>1</v>
      </c>
    </row>
    <row r="453" spans="1:33" x14ac:dyDescent="0.25">
      <c r="A453" s="2">
        <v>121</v>
      </c>
      <c r="B453" s="63"/>
      <c r="C453" s="56"/>
      <c r="D453" s="56"/>
      <c r="E453" s="56"/>
      <c r="F453" s="56"/>
      <c r="G453" s="56"/>
      <c r="H453" s="56"/>
      <c r="I453" s="110" t="str">
        <f ca="1">IF(AND(INDIRECT("H453")&gt;=INDIRECT("F453"),AA453=0,AB453=0,AC453=0,AF453=0),"Yes",IF(AND(INDIRECT("H453")&lt;INDIRECT("F453"),AA453=0,AB453=0,AC453=0,AF453=0),"No","N/A"))</f>
        <v>N/A</v>
      </c>
      <c r="J453" s="174" t="str">
        <f t="shared" ca="1" si="19"/>
        <v>No Error</v>
      </c>
      <c r="K453" s="174"/>
      <c r="L453" s="174"/>
      <c r="AA453" s="61">
        <f ca="1">COUNTBLANK(INDIRECT("C453"))</f>
        <v>1</v>
      </c>
      <c r="AB453" s="61">
        <f ca="1">COUNTBLANK(INDIRECT("d453"))</f>
        <v>1</v>
      </c>
      <c r="AC453" s="61">
        <f ca="1">COUNTBLANK(INDIRECT("e453"))</f>
        <v>1</v>
      </c>
      <c r="AD453" s="61">
        <f ca="1">COUNTBLANK(INDIRECT("f453"))</f>
        <v>1</v>
      </c>
      <c r="AE453" s="61">
        <f ca="1">COUNTBLANK(INDIRECT("g453"))</f>
        <v>1</v>
      </c>
      <c r="AF453" s="61">
        <f ca="1">COUNTBLANK(INDIRECT("h453"))</f>
        <v>1</v>
      </c>
      <c r="AG453" s="61">
        <f ca="1">COUNTBLANK(INDIRECT("b453"))</f>
        <v>1</v>
      </c>
    </row>
    <row r="454" spans="1:33" x14ac:dyDescent="0.25">
      <c r="A454" s="2">
        <v>122</v>
      </c>
      <c r="B454" s="63"/>
      <c r="C454" s="56"/>
      <c r="D454" s="56"/>
      <c r="E454" s="56"/>
      <c r="F454" s="56"/>
      <c r="G454" s="56"/>
      <c r="H454" s="56"/>
      <c r="I454" s="110" t="str">
        <f ca="1">IF(AND(INDIRECT("H454")&gt;=INDIRECT("F454"),AA454=0,AB454=0,AC454=0,AF454=0),"Yes",IF(AND(INDIRECT("H454")&lt;INDIRECT("F454"),AA454=0,AB454=0,AC454=0,AF454=0),"No","N/A"))</f>
        <v>N/A</v>
      </c>
      <c r="J454" s="174" t="str">
        <f t="shared" ca="1" si="19"/>
        <v>No Error</v>
      </c>
      <c r="K454" s="174"/>
      <c r="L454" s="174"/>
      <c r="AA454" s="61">
        <f ca="1">COUNTBLANK(INDIRECT("C454"))</f>
        <v>1</v>
      </c>
      <c r="AB454" s="61">
        <f ca="1">COUNTBLANK(INDIRECT("d454"))</f>
        <v>1</v>
      </c>
      <c r="AC454" s="61">
        <f ca="1">COUNTBLANK(INDIRECT("e454"))</f>
        <v>1</v>
      </c>
      <c r="AD454" s="61">
        <f ca="1">COUNTBLANK(INDIRECT("f454"))</f>
        <v>1</v>
      </c>
      <c r="AE454" s="61">
        <f ca="1">COUNTBLANK(INDIRECT("g454"))</f>
        <v>1</v>
      </c>
      <c r="AF454" s="61">
        <f ca="1">COUNTBLANK(INDIRECT("h454"))</f>
        <v>1</v>
      </c>
      <c r="AG454" s="61">
        <f ca="1">COUNTBLANK(INDIRECT("b454"))</f>
        <v>1</v>
      </c>
    </row>
    <row r="455" spans="1:33" x14ac:dyDescent="0.25">
      <c r="A455" s="2">
        <v>123</v>
      </c>
      <c r="B455" s="63"/>
      <c r="C455" s="56"/>
      <c r="D455" s="56"/>
      <c r="E455" s="56"/>
      <c r="F455" s="56"/>
      <c r="G455" s="56"/>
      <c r="H455" s="56"/>
      <c r="I455" s="110" t="str">
        <f ca="1">IF(AND(INDIRECT("H455")&gt;=INDIRECT("F455"),AA455=0,AB455=0,AC455=0,AF455=0),"Yes",IF(AND(INDIRECT("H455")&lt;INDIRECT("F455"),AA455=0,AB455=0,AC455=0,AF455=0),"No","N/A"))</f>
        <v>N/A</v>
      </c>
      <c r="J455" s="174" t="str">
        <f t="shared" ca="1" si="19"/>
        <v>No Error</v>
      </c>
      <c r="K455" s="174"/>
      <c r="L455" s="174"/>
      <c r="AA455" s="61">
        <f ca="1">COUNTBLANK(INDIRECT("C455"))</f>
        <v>1</v>
      </c>
      <c r="AB455" s="61">
        <f ca="1">COUNTBLANK(INDIRECT("d455"))</f>
        <v>1</v>
      </c>
      <c r="AC455" s="61">
        <f ca="1">COUNTBLANK(INDIRECT("e455"))</f>
        <v>1</v>
      </c>
      <c r="AD455" s="61">
        <f ca="1">COUNTBLANK(INDIRECT("f455"))</f>
        <v>1</v>
      </c>
      <c r="AE455" s="61">
        <f ca="1">COUNTBLANK(INDIRECT("g455"))</f>
        <v>1</v>
      </c>
      <c r="AF455" s="61">
        <f ca="1">COUNTBLANK(INDIRECT("h455"))</f>
        <v>1</v>
      </c>
      <c r="AG455" s="61">
        <f ca="1">COUNTBLANK(INDIRECT("b455"))</f>
        <v>1</v>
      </c>
    </row>
    <row r="456" spans="1:33" x14ac:dyDescent="0.25">
      <c r="A456" s="2">
        <v>124</v>
      </c>
      <c r="B456" s="63"/>
      <c r="C456" s="56"/>
      <c r="D456" s="56"/>
      <c r="E456" s="56"/>
      <c r="F456" s="56"/>
      <c r="G456" s="56"/>
      <c r="H456" s="56"/>
      <c r="I456" s="110" t="str">
        <f ca="1">IF(AND(INDIRECT("H456")&gt;=INDIRECT("F456"),AA456=0,AB456=0,AC456=0,AF456=0),"Yes",IF(AND(INDIRECT("H456")&lt;INDIRECT("F456"),AA456=0,AB456=0,AC456=0,AF456=0),"No","N/A"))</f>
        <v>N/A</v>
      </c>
      <c r="J456" s="174" t="str">
        <f t="shared" ca="1" si="19"/>
        <v>No Error</v>
      </c>
      <c r="K456" s="174"/>
      <c r="L456" s="174"/>
      <c r="AA456" s="61">
        <f ca="1">COUNTBLANK(INDIRECT("C456"))</f>
        <v>1</v>
      </c>
      <c r="AB456" s="61">
        <f ca="1">COUNTBLANK(INDIRECT("d456"))</f>
        <v>1</v>
      </c>
      <c r="AC456" s="61">
        <f ca="1">COUNTBLANK(INDIRECT("e456"))</f>
        <v>1</v>
      </c>
      <c r="AD456" s="61">
        <f ca="1">COUNTBLANK(INDIRECT("f456"))</f>
        <v>1</v>
      </c>
      <c r="AE456" s="61">
        <f ca="1">COUNTBLANK(INDIRECT("g456"))</f>
        <v>1</v>
      </c>
      <c r="AF456" s="61">
        <f ca="1">COUNTBLANK(INDIRECT("h456"))</f>
        <v>1</v>
      </c>
      <c r="AG456" s="61">
        <f ca="1">COUNTBLANK(INDIRECT("b456"))</f>
        <v>1</v>
      </c>
    </row>
    <row r="457" spans="1:33" x14ac:dyDescent="0.25">
      <c r="A457" s="2">
        <v>125</v>
      </c>
      <c r="B457" s="63"/>
      <c r="C457" s="56"/>
      <c r="D457" s="56"/>
      <c r="E457" s="56"/>
      <c r="F457" s="56"/>
      <c r="G457" s="56"/>
      <c r="H457" s="56"/>
      <c r="I457" s="110" t="str">
        <f ca="1">IF(AND(INDIRECT("H457")&gt;=INDIRECT("F457"),AA457=0,AB457=0,AC457=0,AF457=0),"Yes",IF(AND(INDIRECT("H457")&lt;INDIRECT("F457"),AA457=0,AB457=0,AC457=0,AF457=0),"No","N/A"))</f>
        <v>N/A</v>
      </c>
      <c r="J457" s="174" t="str">
        <f t="shared" ca="1" si="19"/>
        <v>No Error</v>
      </c>
      <c r="K457" s="174"/>
      <c r="L457" s="174"/>
      <c r="AA457" s="61">
        <f ca="1">COUNTBLANK(INDIRECT("C457"))</f>
        <v>1</v>
      </c>
      <c r="AB457" s="61">
        <f ca="1">COUNTBLANK(INDIRECT("d457"))</f>
        <v>1</v>
      </c>
      <c r="AC457" s="61">
        <f ca="1">COUNTBLANK(INDIRECT("e457"))</f>
        <v>1</v>
      </c>
      <c r="AD457" s="61">
        <f ca="1">COUNTBLANK(INDIRECT("f457"))</f>
        <v>1</v>
      </c>
      <c r="AE457" s="61">
        <f ca="1">COUNTBLANK(INDIRECT("g457"))</f>
        <v>1</v>
      </c>
      <c r="AF457" s="61">
        <f ca="1">COUNTBLANK(INDIRECT("h457"))</f>
        <v>1</v>
      </c>
      <c r="AG457" s="61">
        <f ca="1">COUNTBLANK(INDIRECT("b457"))</f>
        <v>1</v>
      </c>
    </row>
    <row r="458" spans="1:33" x14ac:dyDescent="0.25">
      <c r="A458" s="2">
        <v>126</v>
      </c>
      <c r="B458" s="63"/>
      <c r="C458" s="56"/>
      <c r="D458" s="56"/>
      <c r="E458" s="56"/>
      <c r="F458" s="56"/>
      <c r="G458" s="56"/>
      <c r="H458" s="56"/>
      <c r="I458" s="110" t="str">
        <f ca="1">IF(AND(INDIRECT("H458")&gt;=INDIRECT("F458"),AA458=0,AB458=0,AC458=0,AF458=0),"Yes",IF(AND(INDIRECT("H458")&lt;INDIRECT("F458"),AA458=0,AB458=0,AC458=0,AF458=0),"No","N/A"))</f>
        <v>N/A</v>
      </c>
      <c r="J458" s="174" t="str">
        <f t="shared" ref="J458:J482" ca="1" si="20">IF(AND(AF458=0,AG458=0,AA458=0,AB458=0,AC458=0,AD458=0),"No Error",IF(AND(AF458=1,AG458=1,AA458=1,AB458=1,AC458=1,AD458=1),"No Error","Please supply all information"))</f>
        <v>No Error</v>
      </c>
      <c r="K458" s="174"/>
      <c r="L458" s="174"/>
      <c r="AA458" s="61">
        <f ca="1">COUNTBLANK(INDIRECT("C458"))</f>
        <v>1</v>
      </c>
      <c r="AB458" s="61">
        <f ca="1">COUNTBLANK(INDIRECT("d458"))</f>
        <v>1</v>
      </c>
      <c r="AC458" s="61">
        <f ca="1">COUNTBLANK(INDIRECT("e458"))</f>
        <v>1</v>
      </c>
      <c r="AD458" s="61">
        <f ca="1">COUNTBLANK(INDIRECT("f458"))</f>
        <v>1</v>
      </c>
      <c r="AE458" s="61">
        <f ca="1">COUNTBLANK(INDIRECT("g458"))</f>
        <v>1</v>
      </c>
      <c r="AF458" s="61">
        <f ca="1">COUNTBLANK(INDIRECT("h458"))</f>
        <v>1</v>
      </c>
      <c r="AG458" s="61">
        <f ca="1">COUNTBLANK(INDIRECT("b458"))</f>
        <v>1</v>
      </c>
    </row>
    <row r="459" spans="1:33" x14ac:dyDescent="0.25">
      <c r="A459" s="2">
        <v>127</v>
      </c>
      <c r="B459" s="63"/>
      <c r="C459" s="56"/>
      <c r="D459" s="56"/>
      <c r="E459" s="56"/>
      <c r="F459" s="56"/>
      <c r="G459" s="56"/>
      <c r="H459" s="56"/>
      <c r="I459" s="110" t="str">
        <f ca="1">IF(AND(INDIRECT("H459")&gt;=INDIRECT("F459"),AA459=0,AB459=0,AC459=0,AF459=0),"Yes",IF(AND(INDIRECT("H459")&lt;INDIRECT("F459"),AA459=0,AB459=0,AC459=0,AF459=0),"No","N/A"))</f>
        <v>N/A</v>
      </c>
      <c r="J459" s="174" t="str">
        <f t="shared" ca="1" si="20"/>
        <v>No Error</v>
      </c>
      <c r="K459" s="174"/>
      <c r="L459" s="174"/>
      <c r="AA459" s="61">
        <f ca="1">COUNTBLANK(INDIRECT("C459"))</f>
        <v>1</v>
      </c>
      <c r="AB459" s="61">
        <f ca="1">COUNTBLANK(INDIRECT("d459"))</f>
        <v>1</v>
      </c>
      <c r="AC459" s="61">
        <f ca="1">COUNTBLANK(INDIRECT("e459"))</f>
        <v>1</v>
      </c>
      <c r="AD459" s="61">
        <f ca="1">COUNTBLANK(INDIRECT("f459"))</f>
        <v>1</v>
      </c>
      <c r="AE459" s="61">
        <f ca="1">COUNTBLANK(INDIRECT("g459"))</f>
        <v>1</v>
      </c>
      <c r="AF459" s="61">
        <f ca="1">COUNTBLANK(INDIRECT("h459"))</f>
        <v>1</v>
      </c>
      <c r="AG459" s="61">
        <f ca="1">COUNTBLANK(INDIRECT("b459"))</f>
        <v>1</v>
      </c>
    </row>
    <row r="460" spans="1:33" x14ac:dyDescent="0.25">
      <c r="A460" s="2">
        <v>128</v>
      </c>
      <c r="B460" s="63"/>
      <c r="C460" s="56"/>
      <c r="D460" s="56"/>
      <c r="E460" s="56"/>
      <c r="F460" s="56"/>
      <c r="G460" s="56"/>
      <c r="H460" s="56"/>
      <c r="I460" s="110" t="str">
        <f ca="1">IF(AND(INDIRECT("H460")&gt;=INDIRECT("F460"),AA460=0,AB460=0,AC460=0,AF460=0),"Yes",IF(AND(INDIRECT("H460")&lt;INDIRECT("F460"),AA460=0,AB460=0,AC460=0,AF460=0),"No","N/A"))</f>
        <v>N/A</v>
      </c>
      <c r="J460" s="174" t="str">
        <f t="shared" ca="1" si="20"/>
        <v>No Error</v>
      </c>
      <c r="K460" s="174"/>
      <c r="L460" s="174"/>
      <c r="AA460" s="61">
        <f ca="1">COUNTBLANK(INDIRECT("C460"))</f>
        <v>1</v>
      </c>
      <c r="AB460" s="61">
        <f ca="1">COUNTBLANK(INDIRECT("d460"))</f>
        <v>1</v>
      </c>
      <c r="AC460" s="61">
        <f ca="1">COUNTBLANK(INDIRECT("e460"))</f>
        <v>1</v>
      </c>
      <c r="AD460" s="61">
        <f ca="1">COUNTBLANK(INDIRECT("f460"))</f>
        <v>1</v>
      </c>
      <c r="AE460" s="61">
        <f ca="1">COUNTBLANK(INDIRECT("g460"))</f>
        <v>1</v>
      </c>
      <c r="AF460" s="61">
        <f ca="1">COUNTBLANK(INDIRECT("h460"))</f>
        <v>1</v>
      </c>
      <c r="AG460" s="61">
        <f ca="1">COUNTBLANK(INDIRECT("b460"))</f>
        <v>1</v>
      </c>
    </row>
    <row r="461" spans="1:33" x14ac:dyDescent="0.25">
      <c r="A461" s="2">
        <v>129</v>
      </c>
      <c r="B461" s="63"/>
      <c r="C461" s="56"/>
      <c r="D461" s="56"/>
      <c r="E461" s="56"/>
      <c r="F461" s="56"/>
      <c r="G461" s="56"/>
      <c r="H461" s="56"/>
      <c r="I461" s="110" t="str">
        <f ca="1">IF(AND(INDIRECT("H461")&gt;=INDIRECT("F461"),AA461=0,AB461=0,AC461=0,AF461=0),"Yes",IF(AND(INDIRECT("H461")&lt;INDIRECT("F461"),AA461=0,AB461=0,AC461=0,AF461=0),"No","N/A"))</f>
        <v>N/A</v>
      </c>
      <c r="J461" s="174" t="str">
        <f t="shared" ca="1" si="20"/>
        <v>No Error</v>
      </c>
      <c r="K461" s="174"/>
      <c r="L461" s="174"/>
      <c r="AA461" s="61">
        <f ca="1">COUNTBLANK(INDIRECT("C461"))</f>
        <v>1</v>
      </c>
      <c r="AB461" s="61">
        <f ca="1">COUNTBLANK(INDIRECT("d461"))</f>
        <v>1</v>
      </c>
      <c r="AC461" s="61">
        <f ca="1">COUNTBLANK(INDIRECT("e461"))</f>
        <v>1</v>
      </c>
      <c r="AD461" s="61">
        <f ca="1">COUNTBLANK(INDIRECT("f461"))</f>
        <v>1</v>
      </c>
      <c r="AE461" s="61">
        <f ca="1">COUNTBLANK(INDIRECT("g461"))</f>
        <v>1</v>
      </c>
      <c r="AF461" s="61">
        <f ca="1">COUNTBLANK(INDIRECT("h461"))</f>
        <v>1</v>
      </c>
      <c r="AG461" s="61">
        <f ca="1">COUNTBLANK(INDIRECT("b461"))</f>
        <v>1</v>
      </c>
    </row>
    <row r="462" spans="1:33" x14ac:dyDescent="0.25">
      <c r="A462" s="2">
        <v>130</v>
      </c>
      <c r="B462" s="63"/>
      <c r="C462" s="56"/>
      <c r="D462" s="56"/>
      <c r="E462" s="56"/>
      <c r="F462" s="56"/>
      <c r="G462" s="56"/>
      <c r="H462" s="56"/>
      <c r="I462" s="110" t="str">
        <f ca="1">IF(AND(INDIRECT("H462")&gt;=INDIRECT("F462"),AA462=0,AB462=0,AC462=0,AF462=0),"Yes",IF(AND(INDIRECT("H462")&lt;INDIRECT("F462"),AA462=0,AB462=0,AC462=0,AF462=0),"No","N/A"))</f>
        <v>N/A</v>
      </c>
      <c r="J462" s="174" t="str">
        <f t="shared" ca="1" si="20"/>
        <v>No Error</v>
      </c>
      <c r="K462" s="174"/>
      <c r="L462" s="174"/>
      <c r="AA462" s="61">
        <f ca="1">COUNTBLANK(INDIRECT("C462"))</f>
        <v>1</v>
      </c>
      <c r="AB462" s="61">
        <f ca="1">COUNTBLANK(INDIRECT("d462"))</f>
        <v>1</v>
      </c>
      <c r="AC462" s="61">
        <f ca="1">COUNTBLANK(INDIRECT("e462"))</f>
        <v>1</v>
      </c>
      <c r="AD462" s="61">
        <f ca="1">COUNTBLANK(INDIRECT("f462"))</f>
        <v>1</v>
      </c>
      <c r="AE462" s="61">
        <f ca="1">COUNTBLANK(INDIRECT("g462"))</f>
        <v>1</v>
      </c>
      <c r="AF462" s="61">
        <f ca="1">COUNTBLANK(INDIRECT("h462"))</f>
        <v>1</v>
      </c>
      <c r="AG462" s="61">
        <f ca="1">COUNTBLANK(INDIRECT("b462"))</f>
        <v>1</v>
      </c>
    </row>
    <row r="463" spans="1:33" x14ac:dyDescent="0.25">
      <c r="A463" s="2">
        <v>131</v>
      </c>
      <c r="B463" s="63"/>
      <c r="C463" s="56"/>
      <c r="D463" s="56"/>
      <c r="E463" s="56"/>
      <c r="F463" s="56"/>
      <c r="G463" s="56"/>
      <c r="H463" s="56"/>
      <c r="I463" s="110" t="str">
        <f ca="1">IF(AND(INDIRECT("H463")&gt;=INDIRECT("F463"),AA463=0,AB463=0,AC463=0,AF463=0),"Yes",IF(AND(INDIRECT("H463")&lt;INDIRECT("F463"),AA463=0,AB463=0,AC463=0,AF463=0),"No","N/A"))</f>
        <v>N/A</v>
      </c>
      <c r="J463" s="174" t="str">
        <f t="shared" ca="1" si="20"/>
        <v>No Error</v>
      </c>
      <c r="K463" s="174"/>
      <c r="L463" s="174"/>
      <c r="AA463" s="61">
        <f ca="1">COUNTBLANK(INDIRECT("C463"))</f>
        <v>1</v>
      </c>
      <c r="AB463" s="61">
        <f ca="1">COUNTBLANK(INDIRECT("d463"))</f>
        <v>1</v>
      </c>
      <c r="AC463" s="61">
        <f ca="1">COUNTBLANK(INDIRECT("e463"))</f>
        <v>1</v>
      </c>
      <c r="AD463" s="61">
        <f ca="1">COUNTBLANK(INDIRECT("f463"))</f>
        <v>1</v>
      </c>
      <c r="AE463" s="61">
        <f ca="1">COUNTBLANK(INDIRECT("g463"))</f>
        <v>1</v>
      </c>
      <c r="AF463" s="61">
        <f ca="1">COUNTBLANK(INDIRECT("h463"))</f>
        <v>1</v>
      </c>
      <c r="AG463" s="61">
        <f ca="1">COUNTBLANK(INDIRECT("b463"))</f>
        <v>1</v>
      </c>
    </row>
    <row r="464" spans="1:33" x14ac:dyDescent="0.25">
      <c r="A464" s="2">
        <v>132</v>
      </c>
      <c r="B464" s="63"/>
      <c r="C464" s="56"/>
      <c r="D464" s="56"/>
      <c r="E464" s="56"/>
      <c r="F464" s="56"/>
      <c r="G464" s="56"/>
      <c r="H464" s="56"/>
      <c r="I464" s="110" t="str">
        <f ca="1">IF(AND(INDIRECT("H464")&gt;=INDIRECT("F464"),AA464=0,AB464=0,AC464=0,AF464=0),"Yes",IF(AND(INDIRECT("H464")&lt;INDIRECT("F464"),AA464=0,AB464=0,AC464=0,AF464=0),"No","N/A"))</f>
        <v>N/A</v>
      </c>
      <c r="J464" s="174" t="str">
        <f t="shared" ca="1" si="20"/>
        <v>No Error</v>
      </c>
      <c r="K464" s="174"/>
      <c r="L464" s="174"/>
      <c r="AA464" s="61">
        <f ca="1">COUNTBLANK(INDIRECT("C464"))</f>
        <v>1</v>
      </c>
      <c r="AB464" s="61">
        <f ca="1">COUNTBLANK(INDIRECT("d464"))</f>
        <v>1</v>
      </c>
      <c r="AC464" s="61">
        <f ca="1">COUNTBLANK(INDIRECT("e464"))</f>
        <v>1</v>
      </c>
      <c r="AD464" s="61">
        <f ca="1">COUNTBLANK(INDIRECT("f464"))</f>
        <v>1</v>
      </c>
      <c r="AE464" s="61">
        <f ca="1">COUNTBLANK(INDIRECT("g464"))</f>
        <v>1</v>
      </c>
      <c r="AF464" s="61">
        <f ca="1">COUNTBLANK(INDIRECT("h464"))</f>
        <v>1</v>
      </c>
      <c r="AG464" s="61">
        <f ca="1">COUNTBLANK(INDIRECT("b464"))</f>
        <v>1</v>
      </c>
    </row>
    <row r="465" spans="1:33" x14ac:dyDescent="0.25">
      <c r="A465" s="2">
        <v>133</v>
      </c>
      <c r="B465" s="63"/>
      <c r="C465" s="56"/>
      <c r="D465" s="56"/>
      <c r="E465" s="56"/>
      <c r="F465" s="56"/>
      <c r="G465" s="56"/>
      <c r="H465" s="56"/>
      <c r="I465" s="110" t="str">
        <f ca="1">IF(AND(INDIRECT("H465")&gt;=INDIRECT("F465"),AA465=0,AB465=0,AC465=0,AF465=0),"Yes",IF(AND(INDIRECT("H465")&lt;INDIRECT("F465"),AA465=0,AB465=0,AC465=0,AF465=0),"No","N/A"))</f>
        <v>N/A</v>
      </c>
      <c r="J465" s="174" t="str">
        <f t="shared" ca="1" si="20"/>
        <v>No Error</v>
      </c>
      <c r="K465" s="174"/>
      <c r="L465" s="174"/>
      <c r="AA465" s="61">
        <f ca="1">COUNTBLANK(INDIRECT("C465"))</f>
        <v>1</v>
      </c>
      <c r="AB465" s="61">
        <f ca="1">COUNTBLANK(INDIRECT("d465"))</f>
        <v>1</v>
      </c>
      <c r="AC465" s="61">
        <f ca="1">COUNTBLANK(INDIRECT("e465"))</f>
        <v>1</v>
      </c>
      <c r="AD465" s="61">
        <f ca="1">COUNTBLANK(INDIRECT("f465"))</f>
        <v>1</v>
      </c>
      <c r="AE465" s="61">
        <f ca="1">COUNTBLANK(INDIRECT("g465"))</f>
        <v>1</v>
      </c>
      <c r="AF465" s="61">
        <f ca="1">COUNTBLANK(INDIRECT("h465"))</f>
        <v>1</v>
      </c>
      <c r="AG465" s="61">
        <f ca="1">COUNTBLANK(INDIRECT("b465"))</f>
        <v>1</v>
      </c>
    </row>
    <row r="466" spans="1:33" x14ac:dyDescent="0.25">
      <c r="A466" s="2">
        <v>134</v>
      </c>
      <c r="B466" s="63"/>
      <c r="C466" s="56"/>
      <c r="D466" s="56"/>
      <c r="E466" s="56"/>
      <c r="F466" s="56"/>
      <c r="G466" s="56"/>
      <c r="H466" s="56"/>
      <c r="I466" s="110" t="str">
        <f ca="1">IF(AND(INDIRECT("H466")&gt;=INDIRECT("F466"),AA466=0,AB466=0,AC466=0,AF466=0),"Yes",IF(AND(INDIRECT("H466")&lt;INDIRECT("F466"),AA466=0,AB466=0,AC466=0,AF466=0),"No","N/A"))</f>
        <v>N/A</v>
      </c>
      <c r="J466" s="174" t="str">
        <f t="shared" ca="1" si="20"/>
        <v>No Error</v>
      </c>
      <c r="K466" s="174"/>
      <c r="L466" s="174"/>
      <c r="AA466" s="61">
        <f ca="1">COUNTBLANK(INDIRECT("C466"))</f>
        <v>1</v>
      </c>
      <c r="AB466" s="61">
        <f ca="1">COUNTBLANK(INDIRECT("d466"))</f>
        <v>1</v>
      </c>
      <c r="AC466" s="61">
        <f ca="1">COUNTBLANK(INDIRECT("e466"))</f>
        <v>1</v>
      </c>
      <c r="AD466" s="61">
        <f ca="1">COUNTBLANK(INDIRECT("f466"))</f>
        <v>1</v>
      </c>
      <c r="AE466" s="61">
        <f ca="1">COUNTBLANK(INDIRECT("g466"))</f>
        <v>1</v>
      </c>
      <c r="AF466" s="61">
        <f ca="1">COUNTBLANK(INDIRECT("h466"))</f>
        <v>1</v>
      </c>
      <c r="AG466" s="61">
        <f ca="1">COUNTBLANK(INDIRECT("b466"))</f>
        <v>1</v>
      </c>
    </row>
    <row r="467" spans="1:33" x14ac:dyDescent="0.25">
      <c r="A467" s="2">
        <v>135</v>
      </c>
      <c r="B467" s="63"/>
      <c r="C467" s="56"/>
      <c r="D467" s="56"/>
      <c r="E467" s="56"/>
      <c r="F467" s="56"/>
      <c r="G467" s="56"/>
      <c r="H467" s="56"/>
      <c r="I467" s="110" t="str">
        <f ca="1">IF(AND(INDIRECT("H467")&gt;=INDIRECT("F467"),AA467=0,AB467=0,AC467=0,AF467=0),"Yes",IF(AND(INDIRECT("H467")&lt;INDIRECT("F467"),AA467=0,AB467=0,AC467=0,AF467=0),"No","N/A"))</f>
        <v>N/A</v>
      </c>
      <c r="J467" s="174" t="str">
        <f t="shared" ca="1" si="20"/>
        <v>No Error</v>
      </c>
      <c r="K467" s="174"/>
      <c r="L467" s="174"/>
      <c r="AA467" s="61">
        <f ca="1">COUNTBLANK(INDIRECT("C467"))</f>
        <v>1</v>
      </c>
      <c r="AB467" s="61">
        <f ca="1">COUNTBLANK(INDIRECT("d467"))</f>
        <v>1</v>
      </c>
      <c r="AC467" s="61">
        <f ca="1">COUNTBLANK(INDIRECT("e467"))</f>
        <v>1</v>
      </c>
      <c r="AD467" s="61">
        <f ca="1">COUNTBLANK(INDIRECT("f467"))</f>
        <v>1</v>
      </c>
      <c r="AE467" s="61">
        <f ca="1">COUNTBLANK(INDIRECT("g467"))</f>
        <v>1</v>
      </c>
      <c r="AF467" s="61">
        <f ca="1">COUNTBLANK(INDIRECT("h467"))</f>
        <v>1</v>
      </c>
      <c r="AG467" s="61">
        <f ca="1">COUNTBLANK(INDIRECT("b467"))</f>
        <v>1</v>
      </c>
    </row>
    <row r="468" spans="1:33" x14ac:dyDescent="0.25">
      <c r="A468" s="2">
        <v>136</v>
      </c>
      <c r="B468" s="63"/>
      <c r="C468" s="56"/>
      <c r="D468" s="56"/>
      <c r="E468" s="56"/>
      <c r="F468" s="56"/>
      <c r="G468" s="56"/>
      <c r="H468" s="56"/>
      <c r="I468" s="110" t="str">
        <f ca="1">IF(AND(INDIRECT("H468")&gt;=INDIRECT("F468"),AA468=0,AB468=0,AC468=0,AF468=0),"Yes",IF(AND(INDIRECT("H468")&lt;INDIRECT("F468"),AA468=0,AB468=0,AC468=0,AF468=0),"No","N/A"))</f>
        <v>N/A</v>
      </c>
      <c r="J468" s="174" t="str">
        <f t="shared" ca="1" si="20"/>
        <v>No Error</v>
      </c>
      <c r="K468" s="174"/>
      <c r="L468" s="174"/>
      <c r="AA468" s="61">
        <f ca="1">COUNTBLANK(INDIRECT("C468"))</f>
        <v>1</v>
      </c>
      <c r="AB468" s="61">
        <f ca="1">COUNTBLANK(INDIRECT("d468"))</f>
        <v>1</v>
      </c>
      <c r="AC468" s="61">
        <f ca="1">COUNTBLANK(INDIRECT("e468"))</f>
        <v>1</v>
      </c>
      <c r="AD468" s="61">
        <f ca="1">COUNTBLANK(INDIRECT("f468"))</f>
        <v>1</v>
      </c>
      <c r="AE468" s="61">
        <f ca="1">COUNTBLANK(INDIRECT("g468"))</f>
        <v>1</v>
      </c>
      <c r="AF468" s="61">
        <f ca="1">COUNTBLANK(INDIRECT("h468"))</f>
        <v>1</v>
      </c>
      <c r="AG468" s="61">
        <f ca="1">COUNTBLANK(INDIRECT("b468"))</f>
        <v>1</v>
      </c>
    </row>
    <row r="469" spans="1:33" x14ac:dyDescent="0.25">
      <c r="A469" s="2">
        <v>137</v>
      </c>
      <c r="B469" s="63"/>
      <c r="C469" s="56"/>
      <c r="D469" s="56"/>
      <c r="E469" s="56"/>
      <c r="F469" s="56"/>
      <c r="G469" s="56"/>
      <c r="H469" s="56"/>
      <c r="I469" s="110" t="str">
        <f ca="1">IF(AND(INDIRECT("H469")&gt;=INDIRECT("F469"),AA469=0,AB469=0,AC469=0,AF469=0),"Yes",IF(AND(INDIRECT("H469")&lt;INDIRECT("F469"),AA469=0,AB469=0,AC469=0,AF469=0),"No","N/A"))</f>
        <v>N/A</v>
      </c>
      <c r="J469" s="174" t="str">
        <f t="shared" ca="1" si="20"/>
        <v>No Error</v>
      </c>
      <c r="K469" s="174"/>
      <c r="L469" s="174"/>
      <c r="AA469" s="61">
        <f ca="1">COUNTBLANK(INDIRECT("C469"))</f>
        <v>1</v>
      </c>
      <c r="AB469" s="61">
        <f ca="1">COUNTBLANK(INDIRECT("d469"))</f>
        <v>1</v>
      </c>
      <c r="AC469" s="61">
        <f ca="1">COUNTBLANK(INDIRECT("e469"))</f>
        <v>1</v>
      </c>
      <c r="AD469" s="61">
        <f ca="1">COUNTBLANK(INDIRECT("f469"))</f>
        <v>1</v>
      </c>
      <c r="AE469" s="61">
        <f ca="1">COUNTBLANK(INDIRECT("g469"))</f>
        <v>1</v>
      </c>
      <c r="AF469" s="61">
        <f ca="1">COUNTBLANK(INDIRECT("h469"))</f>
        <v>1</v>
      </c>
      <c r="AG469" s="61">
        <f ca="1">COUNTBLANK(INDIRECT("b469"))</f>
        <v>1</v>
      </c>
    </row>
    <row r="470" spans="1:33" x14ac:dyDescent="0.25">
      <c r="A470" s="2">
        <v>138</v>
      </c>
      <c r="B470" s="63"/>
      <c r="C470" s="56"/>
      <c r="D470" s="56"/>
      <c r="E470" s="56"/>
      <c r="F470" s="56"/>
      <c r="G470" s="56"/>
      <c r="H470" s="56"/>
      <c r="I470" s="110" t="str">
        <f ca="1">IF(AND(INDIRECT("H470")&gt;=INDIRECT("F470"),AA470=0,AB470=0,AC470=0,AF470=0),"Yes",IF(AND(INDIRECT("H470")&lt;INDIRECT("F470"),AA470=0,AB470=0,AC470=0,AF470=0),"No","N/A"))</f>
        <v>N/A</v>
      </c>
      <c r="J470" s="174" t="str">
        <f t="shared" ca="1" si="20"/>
        <v>No Error</v>
      </c>
      <c r="K470" s="174"/>
      <c r="L470" s="174"/>
      <c r="AA470" s="61">
        <f ca="1">COUNTBLANK(INDIRECT("C470"))</f>
        <v>1</v>
      </c>
      <c r="AB470" s="61">
        <f ca="1">COUNTBLANK(INDIRECT("d470"))</f>
        <v>1</v>
      </c>
      <c r="AC470" s="61">
        <f ca="1">COUNTBLANK(INDIRECT("e470"))</f>
        <v>1</v>
      </c>
      <c r="AD470" s="61">
        <f ca="1">COUNTBLANK(INDIRECT("f470"))</f>
        <v>1</v>
      </c>
      <c r="AE470" s="61">
        <f ca="1">COUNTBLANK(INDIRECT("g470"))</f>
        <v>1</v>
      </c>
      <c r="AF470" s="61">
        <f ca="1">COUNTBLANK(INDIRECT("h470"))</f>
        <v>1</v>
      </c>
      <c r="AG470" s="61">
        <f ca="1">COUNTBLANK(INDIRECT("b470"))</f>
        <v>1</v>
      </c>
    </row>
    <row r="471" spans="1:33" x14ac:dyDescent="0.25">
      <c r="A471" s="2">
        <v>139</v>
      </c>
      <c r="B471" s="63"/>
      <c r="C471" s="56"/>
      <c r="D471" s="56"/>
      <c r="E471" s="56"/>
      <c r="F471" s="56"/>
      <c r="G471" s="56"/>
      <c r="H471" s="56"/>
      <c r="I471" s="110" t="str">
        <f ca="1">IF(AND(INDIRECT("H471")&gt;=INDIRECT("F471"),AA471=0,AB471=0,AC471=0,AF471=0),"Yes",IF(AND(INDIRECT("H471")&lt;INDIRECT("F471"),AA471=0,AB471=0,AC471=0,AF471=0),"No","N/A"))</f>
        <v>N/A</v>
      </c>
      <c r="J471" s="174" t="str">
        <f t="shared" ca="1" si="20"/>
        <v>No Error</v>
      </c>
      <c r="K471" s="174"/>
      <c r="L471" s="174"/>
      <c r="AA471" s="61">
        <f ca="1">COUNTBLANK(INDIRECT("C471"))</f>
        <v>1</v>
      </c>
      <c r="AB471" s="61">
        <f ca="1">COUNTBLANK(INDIRECT("d471"))</f>
        <v>1</v>
      </c>
      <c r="AC471" s="61">
        <f ca="1">COUNTBLANK(INDIRECT("e471"))</f>
        <v>1</v>
      </c>
      <c r="AD471" s="61">
        <f ca="1">COUNTBLANK(INDIRECT("f471"))</f>
        <v>1</v>
      </c>
      <c r="AE471" s="61">
        <f ca="1">COUNTBLANK(INDIRECT("g471"))</f>
        <v>1</v>
      </c>
      <c r="AF471" s="61">
        <f ca="1">COUNTBLANK(INDIRECT("h471"))</f>
        <v>1</v>
      </c>
      <c r="AG471" s="61">
        <f ca="1">COUNTBLANK(INDIRECT("b471"))</f>
        <v>1</v>
      </c>
    </row>
    <row r="472" spans="1:33" x14ac:dyDescent="0.25">
      <c r="A472" s="2">
        <v>140</v>
      </c>
      <c r="B472" s="63"/>
      <c r="C472" s="56"/>
      <c r="D472" s="56"/>
      <c r="E472" s="56"/>
      <c r="F472" s="56"/>
      <c r="G472" s="56"/>
      <c r="H472" s="56"/>
      <c r="I472" s="110" t="str">
        <f ca="1">IF(AND(INDIRECT("H472")&gt;=INDIRECT("F472"),AA472=0,AB472=0,AC472=0,AF472=0),"Yes",IF(AND(INDIRECT("H472")&lt;INDIRECT("F472"),AA472=0,AB472=0,AC472=0,AF472=0),"No","N/A"))</f>
        <v>N/A</v>
      </c>
      <c r="J472" s="174" t="str">
        <f t="shared" ca="1" si="20"/>
        <v>No Error</v>
      </c>
      <c r="K472" s="174"/>
      <c r="L472" s="174"/>
      <c r="AA472" s="61">
        <f ca="1">COUNTBLANK(INDIRECT("C472"))</f>
        <v>1</v>
      </c>
      <c r="AB472" s="61">
        <f ca="1">COUNTBLANK(INDIRECT("d472"))</f>
        <v>1</v>
      </c>
      <c r="AC472" s="61">
        <f ca="1">COUNTBLANK(INDIRECT("e472"))</f>
        <v>1</v>
      </c>
      <c r="AD472" s="61">
        <f ca="1">COUNTBLANK(INDIRECT("f472"))</f>
        <v>1</v>
      </c>
      <c r="AE472" s="61">
        <f ca="1">COUNTBLANK(INDIRECT("g472"))</f>
        <v>1</v>
      </c>
      <c r="AF472" s="61">
        <f ca="1">COUNTBLANK(INDIRECT("h472"))</f>
        <v>1</v>
      </c>
      <c r="AG472" s="61">
        <f ca="1">COUNTBLANK(INDIRECT("b472"))</f>
        <v>1</v>
      </c>
    </row>
    <row r="473" spans="1:33" x14ac:dyDescent="0.25">
      <c r="A473" s="2">
        <v>141</v>
      </c>
      <c r="B473" s="63"/>
      <c r="C473" s="56"/>
      <c r="D473" s="56"/>
      <c r="E473" s="56"/>
      <c r="F473" s="56"/>
      <c r="G473" s="56"/>
      <c r="H473" s="56"/>
      <c r="I473" s="110" t="str">
        <f ca="1">IF(AND(INDIRECT("H473")&gt;=INDIRECT("F473"),AA473=0,AB473=0,AC473=0,AF473=0),"Yes",IF(AND(INDIRECT("H473")&lt;INDIRECT("F473"),AA473=0,AB473=0,AC473=0,AF473=0),"No","N/A"))</f>
        <v>N/A</v>
      </c>
      <c r="J473" s="174" t="str">
        <f t="shared" ca="1" si="20"/>
        <v>No Error</v>
      </c>
      <c r="K473" s="174"/>
      <c r="L473" s="174"/>
      <c r="AA473" s="61">
        <f ca="1">COUNTBLANK(INDIRECT("C473"))</f>
        <v>1</v>
      </c>
      <c r="AB473" s="61">
        <f ca="1">COUNTBLANK(INDIRECT("d473"))</f>
        <v>1</v>
      </c>
      <c r="AC473" s="61">
        <f ca="1">COUNTBLANK(INDIRECT("e473"))</f>
        <v>1</v>
      </c>
      <c r="AD473" s="61">
        <f ca="1">COUNTBLANK(INDIRECT("f473"))</f>
        <v>1</v>
      </c>
      <c r="AE473" s="61">
        <f ca="1">COUNTBLANK(INDIRECT("g473"))</f>
        <v>1</v>
      </c>
      <c r="AF473" s="61">
        <f ca="1">COUNTBLANK(INDIRECT("h473"))</f>
        <v>1</v>
      </c>
      <c r="AG473" s="61">
        <f ca="1">COUNTBLANK(INDIRECT("b473"))</f>
        <v>1</v>
      </c>
    </row>
    <row r="474" spans="1:33" x14ac:dyDescent="0.25">
      <c r="A474" s="2">
        <v>142</v>
      </c>
      <c r="B474" s="63"/>
      <c r="C474" s="56"/>
      <c r="D474" s="56"/>
      <c r="E474" s="56"/>
      <c r="F474" s="56"/>
      <c r="G474" s="56"/>
      <c r="H474" s="56"/>
      <c r="I474" s="110" t="str">
        <f ca="1">IF(AND(INDIRECT("H474")&gt;=INDIRECT("F474"),AA474=0,AB474=0,AC474=0,AF474=0),"Yes",IF(AND(INDIRECT("H474")&lt;INDIRECT("F474"),AA474=0,AB474=0,AC474=0,AF474=0),"No","N/A"))</f>
        <v>N/A</v>
      </c>
      <c r="J474" s="174" t="str">
        <f t="shared" ca="1" si="20"/>
        <v>No Error</v>
      </c>
      <c r="K474" s="174"/>
      <c r="L474" s="174"/>
      <c r="AA474" s="61">
        <f ca="1">COUNTBLANK(INDIRECT("C474"))</f>
        <v>1</v>
      </c>
      <c r="AB474" s="61">
        <f ca="1">COUNTBLANK(INDIRECT("d474"))</f>
        <v>1</v>
      </c>
      <c r="AC474" s="61">
        <f ca="1">COUNTBLANK(INDIRECT("e474"))</f>
        <v>1</v>
      </c>
      <c r="AD474" s="61">
        <f ca="1">COUNTBLANK(INDIRECT("f474"))</f>
        <v>1</v>
      </c>
      <c r="AE474" s="61">
        <f ca="1">COUNTBLANK(INDIRECT("g474"))</f>
        <v>1</v>
      </c>
      <c r="AF474" s="61">
        <f ca="1">COUNTBLANK(INDIRECT("h474"))</f>
        <v>1</v>
      </c>
      <c r="AG474" s="61">
        <f ca="1">COUNTBLANK(INDIRECT("b474"))</f>
        <v>1</v>
      </c>
    </row>
    <row r="475" spans="1:33" x14ac:dyDescent="0.25">
      <c r="A475" s="2">
        <v>143</v>
      </c>
      <c r="B475" s="63"/>
      <c r="C475" s="56"/>
      <c r="D475" s="56"/>
      <c r="E475" s="56"/>
      <c r="F475" s="56"/>
      <c r="G475" s="56"/>
      <c r="H475" s="56"/>
      <c r="I475" s="110" t="str">
        <f ca="1">IF(AND(INDIRECT("H475")&gt;=INDIRECT("F475"),AA475=0,AB475=0,AC475=0,AF475=0),"Yes",IF(AND(INDIRECT("H475")&lt;INDIRECT("F475"),AA475=0,AB475=0,AC475=0,AF475=0),"No","N/A"))</f>
        <v>N/A</v>
      </c>
      <c r="J475" s="174" t="str">
        <f t="shared" ca="1" si="20"/>
        <v>No Error</v>
      </c>
      <c r="K475" s="174"/>
      <c r="L475" s="174"/>
      <c r="AA475" s="61">
        <f ca="1">COUNTBLANK(INDIRECT("C475"))</f>
        <v>1</v>
      </c>
      <c r="AB475" s="61">
        <f ca="1">COUNTBLANK(INDIRECT("d475"))</f>
        <v>1</v>
      </c>
      <c r="AC475" s="61">
        <f ca="1">COUNTBLANK(INDIRECT("e475"))</f>
        <v>1</v>
      </c>
      <c r="AD475" s="61">
        <f ca="1">COUNTBLANK(INDIRECT("f475"))</f>
        <v>1</v>
      </c>
      <c r="AE475" s="61">
        <f ca="1">COUNTBLANK(INDIRECT("g475"))</f>
        <v>1</v>
      </c>
      <c r="AF475" s="61">
        <f ca="1">COUNTBLANK(INDIRECT("h475"))</f>
        <v>1</v>
      </c>
      <c r="AG475" s="61">
        <f ca="1">COUNTBLANK(INDIRECT("b475"))</f>
        <v>1</v>
      </c>
    </row>
    <row r="476" spans="1:33" x14ac:dyDescent="0.25">
      <c r="A476" s="2">
        <v>144</v>
      </c>
      <c r="B476" s="63"/>
      <c r="C476" s="56"/>
      <c r="D476" s="56"/>
      <c r="E476" s="56"/>
      <c r="F476" s="56"/>
      <c r="G476" s="56"/>
      <c r="H476" s="56"/>
      <c r="I476" s="110" t="str">
        <f ca="1">IF(AND(INDIRECT("H476")&gt;=INDIRECT("F476"),AA476=0,AB476=0,AC476=0,AF476=0),"Yes",IF(AND(INDIRECT("H476")&lt;INDIRECT("F476"),AA476=0,AB476=0,AC476=0,AF476=0),"No","N/A"))</f>
        <v>N/A</v>
      </c>
      <c r="J476" s="174" t="str">
        <f t="shared" ca="1" si="20"/>
        <v>No Error</v>
      </c>
      <c r="K476" s="174"/>
      <c r="L476" s="174"/>
      <c r="AA476" s="61">
        <f ca="1">COUNTBLANK(INDIRECT("C476"))</f>
        <v>1</v>
      </c>
      <c r="AB476" s="61">
        <f ca="1">COUNTBLANK(INDIRECT("d476"))</f>
        <v>1</v>
      </c>
      <c r="AC476" s="61">
        <f ca="1">COUNTBLANK(INDIRECT("e476"))</f>
        <v>1</v>
      </c>
      <c r="AD476" s="61">
        <f ca="1">COUNTBLANK(INDIRECT("f476"))</f>
        <v>1</v>
      </c>
      <c r="AE476" s="61">
        <f ca="1">COUNTBLANK(INDIRECT("g476"))</f>
        <v>1</v>
      </c>
      <c r="AF476" s="61">
        <f ca="1">COUNTBLANK(INDIRECT("h476"))</f>
        <v>1</v>
      </c>
      <c r="AG476" s="61">
        <f ca="1">COUNTBLANK(INDIRECT("b476"))</f>
        <v>1</v>
      </c>
    </row>
    <row r="477" spans="1:33" x14ac:dyDescent="0.25">
      <c r="A477" s="2">
        <v>145</v>
      </c>
      <c r="B477" s="63"/>
      <c r="C477" s="56"/>
      <c r="D477" s="56"/>
      <c r="E477" s="56"/>
      <c r="F477" s="56"/>
      <c r="G477" s="56"/>
      <c r="H477" s="56"/>
      <c r="I477" s="110" t="str">
        <f ca="1">IF(AND(INDIRECT("H477")&gt;=INDIRECT("F477"),AA477=0,AB477=0,AC477=0,AF477=0),"Yes",IF(AND(INDIRECT("H477")&lt;INDIRECT("F477"),AA477=0,AB477=0,AC477=0,AF477=0),"No","N/A"))</f>
        <v>N/A</v>
      </c>
      <c r="J477" s="174" t="str">
        <f t="shared" ca="1" si="20"/>
        <v>No Error</v>
      </c>
      <c r="K477" s="174"/>
      <c r="L477" s="174"/>
      <c r="AA477" s="61">
        <f ca="1">COUNTBLANK(INDIRECT("C477"))</f>
        <v>1</v>
      </c>
      <c r="AB477" s="61">
        <f ca="1">COUNTBLANK(INDIRECT("d477"))</f>
        <v>1</v>
      </c>
      <c r="AC477" s="61">
        <f ca="1">COUNTBLANK(INDIRECT("e477"))</f>
        <v>1</v>
      </c>
      <c r="AD477" s="61">
        <f ca="1">COUNTBLANK(INDIRECT("f477"))</f>
        <v>1</v>
      </c>
      <c r="AE477" s="61">
        <f ca="1">COUNTBLANK(INDIRECT("g477"))</f>
        <v>1</v>
      </c>
      <c r="AF477" s="61">
        <f ca="1">COUNTBLANK(INDIRECT("h477"))</f>
        <v>1</v>
      </c>
      <c r="AG477" s="61">
        <f ca="1">COUNTBLANK(INDIRECT("b477"))</f>
        <v>1</v>
      </c>
    </row>
    <row r="478" spans="1:33" x14ac:dyDescent="0.25">
      <c r="A478" s="2">
        <v>146</v>
      </c>
      <c r="B478" s="63"/>
      <c r="C478" s="56"/>
      <c r="D478" s="56"/>
      <c r="E478" s="56"/>
      <c r="F478" s="56"/>
      <c r="G478" s="56"/>
      <c r="H478" s="56"/>
      <c r="I478" s="110" t="str">
        <f ca="1">IF(AND(INDIRECT("H478")&gt;=INDIRECT("F478"),AA478=0,AB478=0,AC478=0,AF478=0),"Yes",IF(AND(INDIRECT("H478")&lt;INDIRECT("F478"),AA478=0,AB478=0,AC478=0,AF478=0),"No","N/A"))</f>
        <v>N/A</v>
      </c>
      <c r="J478" s="174" t="str">
        <f t="shared" ca="1" si="20"/>
        <v>No Error</v>
      </c>
      <c r="K478" s="174"/>
      <c r="L478" s="174"/>
      <c r="AA478" s="61">
        <f ca="1">COUNTBLANK(INDIRECT("C478"))</f>
        <v>1</v>
      </c>
      <c r="AB478" s="61">
        <f ca="1">COUNTBLANK(INDIRECT("d478"))</f>
        <v>1</v>
      </c>
      <c r="AC478" s="61">
        <f ca="1">COUNTBLANK(INDIRECT("e478"))</f>
        <v>1</v>
      </c>
      <c r="AD478" s="61">
        <f ca="1">COUNTBLANK(INDIRECT("f478"))</f>
        <v>1</v>
      </c>
      <c r="AE478" s="61">
        <f ca="1">COUNTBLANK(INDIRECT("g478"))</f>
        <v>1</v>
      </c>
      <c r="AF478" s="61">
        <f ca="1">COUNTBLANK(INDIRECT("h478"))</f>
        <v>1</v>
      </c>
      <c r="AG478" s="61">
        <f ca="1">COUNTBLANK(INDIRECT("b478"))</f>
        <v>1</v>
      </c>
    </row>
    <row r="479" spans="1:33" x14ac:dyDescent="0.25">
      <c r="A479" s="2">
        <v>147</v>
      </c>
      <c r="B479" s="63"/>
      <c r="C479" s="56"/>
      <c r="D479" s="56"/>
      <c r="E479" s="56"/>
      <c r="F479" s="56"/>
      <c r="G479" s="56"/>
      <c r="H479" s="56"/>
      <c r="I479" s="110" t="str">
        <f ca="1">IF(AND(INDIRECT("H479")&gt;=INDIRECT("F479"),AA479=0,AB479=0,AC479=0,AF479=0),"Yes",IF(AND(INDIRECT("H479")&lt;INDIRECT("F479"),AA479=0,AB479=0,AC479=0,AF479=0),"No","N/A"))</f>
        <v>N/A</v>
      </c>
      <c r="J479" s="174" t="str">
        <f t="shared" ca="1" si="20"/>
        <v>No Error</v>
      </c>
      <c r="K479" s="174"/>
      <c r="L479" s="174"/>
      <c r="AA479" s="61">
        <f ca="1">COUNTBLANK(INDIRECT("C479"))</f>
        <v>1</v>
      </c>
      <c r="AB479" s="61">
        <f ca="1">COUNTBLANK(INDIRECT("d479"))</f>
        <v>1</v>
      </c>
      <c r="AC479" s="61">
        <f ca="1">COUNTBLANK(INDIRECT("e479"))</f>
        <v>1</v>
      </c>
      <c r="AD479" s="61">
        <f ca="1">COUNTBLANK(INDIRECT("f479"))</f>
        <v>1</v>
      </c>
      <c r="AE479" s="61">
        <f ca="1">COUNTBLANK(INDIRECT("g479"))</f>
        <v>1</v>
      </c>
      <c r="AF479" s="61">
        <f ca="1">COUNTBLANK(INDIRECT("h479"))</f>
        <v>1</v>
      </c>
      <c r="AG479" s="61">
        <f ca="1">COUNTBLANK(INDIRECT("b479"))</f>
        <v>1</v>
      </c>
    </row>
    <row r="480" spans="1:33" x14ac:dyDescent="0.25">
      <c r="A480" s="2">
        <v>148</v>
      </c>
      <c r="B480" s="63"/>
      <c r="C480" s="56"/>
      <c r="D480" s="56"/>
      <c r="E480" s="56"/>
      <c r="F480" s="56"/>
      <c r="G480" s="56"/>
      <c r="H480" s="56"/>
      <c r="I480" s="110" t="str">
        <f ca="1">IF(AND(INDIRECT("H480")&gt;=INDIRECT("F480"),AA480=0,AB480=0,AC480=0,AF480=0),"Yes",IF(AND(INDIRECT("H480")&lt;INDIRECT("F480"),AA480=0,AB480=0,AC480=0,AF480=0),"No","N/A"))</f>
        <v>N/A</v>
      </c>
      <c r="J480" s="174" t="str">
        <f t="shared" ca="1" si="20"/>
        <v>No Error</v>
      </c>
      <c r="K480" s="174"/>
      <c r="L480" s="174"/>
      <c r="AA480" s="61">
        <f ca="1">COUNTBLANK(INDIRECT("C480"))</f>
        <v>1</v>
      </c>
      <c r="AB480" s="61">
        <f ca="1">COUNTBLANK(INDIRECT("d480"))</f>
        <v>1</v>
      </c>
      <c r="AC480" s="61">
        <f ca="1">COUNTBLANK(INDIRECT("e480"))</f>
        <v>1</v>
      </c>
      <c r="AD480" s="61">
        <f ca="1">COUNTBLANK(INDIRECT("f480"))</f>
        <v>1</v>
      </c>
      <c r="AE480" s="61">
        <f ca="1">COUNTBLANK(INDIRECT("g480"))</f>
        <v>1</v>
      </c>
      <c r="AF480" s="61">
        <f ca="1">COUNTBLANK(INDIRECT("h480"))</f>
        <v>1</v>
      </c>
      <c r="AG480" s="61">
        <f ca="1">COUNTBLANK(INDIRECT("b480"))</f>
        <v>1</v>
      </c>
    </row>
    <row r="481" spans="1:33" x14ac:dyDescent="0.25">
      <c r="A481" s="2">
        <v>149</v>
      </c>
      <c r="B481" s="63"/>
      <c r="C481" s="56"/>
      <c r="D481" s="56"/>
      <c r="E481" s="56"/>
      <c r="F481" s="56"/>
      <c r="G481" s="56"/>
      <c r="H481" s="56"/>
      <c r="I481" s="110" t="str">
        <f ca="1">IF(AND(INDIRECT("H481")&gt;=INDIRECT("F481"),AA481=0,AB481=0,AC481=0,AF481=0),"Yes",IF(AND(INDIRECT("H481")&lt;INDIRECT("F481"),AA481=0,AB481=0,AC481=0,AF481=0),"No","N/A"))</f>
        <v>N/A</v>
      </c>
      <c r="J481" s="174" t="str">
        <f t="shared" ca="1" si="20"/>
        <v>No Error</v>
      </c>
      <c r="K481" s="174"/>
      <c r="L481" s="174"/>
      <c r="AA481" s="61">
        <f ca="1">COUNTBLANK(INDIRECT("C481"))</f>
        <v>1</v>
      </c>
      <c r="AB481" s="61">
        <f ca="1">COUNTBLANK(INDIRECT("d481"))</f>
        <v>1</v>
      </c>
      <c r="AC481" s="61">
        <f ca="1">COUNTBLANK(INDIRECT("e481"))</f>
        <v>1</v>
      </c>
      <c r="AD481" s="61">
        <f ca="1">COUNTBLANK(INDIRECT("f481"))</f>
        <v>1</v>
      </c>
      <c r="AE481" s="61">
        <f ca="1">COUNTBLANK(INDIRECT("g481"))</f>
        <v>1</v>
      </c>
      <c r="AF481" s="61">
        <f ca="1">COUNTBLANK(INDIRECT("h481"))</f>
        <v>1</v>
      </c>
      <c r="AG481" s="61">
        <f ca="1">COUNTBLANK(INDIRECT("b481"))</f>
        <v>1</v>
      </c>
    </row>
    <row r="482" spans="1:33" x14ac:dyDescent="0.25">
      <c r="A482" s="2">
        <v>150</v>
      </c>
      <c r="B482" s="63"/>
      <c r="C482" s="56"/>
      <c r="D482" s="56"/>
      <c r="E482" s="56"/>
      <c r="F482" s="56"/>
      <c r="G482" s="56"/>
      <c r="H482" s="56"/>
      <c r="I482" s="110" t="str">
        <f ca="1">IF(AND(INDIRECT("H482")&gt;=INDIRECT("F482"),AA482=0,AB482=0,AC482=0,AF482=0),"Yes",IF(AND(INDIRECT("H482")&lt;INDIRECT("F482"),AA482=0,AB482=0,AC482=0,AF482=0),"No","N/A"))</f>
        <v>N/A</v>
      </c>
      <c r="J482" s="174" t="str">
        <f t="shared" ca="1" si="20"/>
        <v>No Error</v>
      </c>
      <c r="K482" s="174"/>
      <c r="L482" s="174"/>
      <c r="AA482" s="61">
        <f ca="1">COUNTBLANK(INDIRECT("C482"))</f>
        <v>1</v>
      </c>
      <c r="AB482" s="61">
        <f ca="1">COUNTBLANK(INDIRECT("d482"))</f>
        <v>1</v>
      </c>
      <c r="AC482" s="61">
        <f ca="1">COUNTBLANK(INDIRECT("e482"))</f>
        <v>1</v>
      </c>
      <c r="AD482" s="61">
        <f ca="1">COUNTBLANK(INDIRECT("f482"))</f>
        <v>1</v>
      </c>
      <c r="AE482" s="61">
        <f ca="1">COUNTBLANK(INDIRECT("g482"))</f>
        <v>1</v>
      </c>
      <c r="AF482" s="61">
        <f ca="1">COUNTBLANK(INDIRECT("h482"))</f>
        <v>1</v>
      </c>
      <c r="AG482" s="61">
        <f ca="1">COUNTBLANK(INDIRECT("b482"))</f>
        <v>1</v>
      </c>
    </row>
    <row r="483" spans="1:33" x14ac:dyDescent="0.25">
      <c r="AD483" s="61"/>
      <c r="AF483" s="61"/>
    </row>
  </sheetData>
  <sheetProtection password="CC4A" sheet="1" objects="1" scenarios="1" selectLockedCells="1"/>
  <mergeCells count="473">
    <mergeCell ref="J481:L481"/>
    <mergeCell ref="J482:L482"/>
    <mergeCell ref="J472:L472"/>
    <mergeCell ref="J473:L473"/>
    <mergeCell ref="J474:L474"/>
    <mergeCell ref="J475:L475"/>
    <mergeCell ref="J476:L476"/>
    <mergeCell ref="J477:L477"/>
    <mergeCell ref="J478:L478"/>
    <mergeCell ref="J479:L479"/>
    <mergeCell ref="J480:L480"/>
    <mergeCell ref="J463:L463"/>
    <mergeCell ref="J464:L464"/>
    <mergeCell ref="J465:L465"/>
    <mergeCell ref="J466:L466"/>
    <mergeCell ref="J467:L467"/>
    <mergeCell ref="J468:L468"/>
    <mergeCell ref="J469:L469"/>
    <mergeCell ref="J470:L470"/>
    <mergeCell ref="J471:L471"/>
    <mergeCell ref="J329:L329"/>
    <mergeCell ref="J330:L330"/>
    <mergeCell ref="J458:L458"/>
    <mergeCell ref="J459:L459"/>
    <mergeCell ref="J460:L460"/>
    <mergeCell ref="J461:L461"/>
    <mergeCell ref="J462:L462"/>
    <mergeCell ref="J333:L333"/>
    <mergeCell ref="J334:L334"/>
    <mergeCell ref="J335:L335"/>
    <mergeCell ref="J336:L336"/>
    <mergeCell ref="J337:L337"/>
    <mergeCell ref="J343:L343"/>
    <mergeCell ref="J344:L344"/>
    <mergeCell ref="J345:L345"/>
    <mergeCell ref="J346:L346"/>
    <mergeCell ref="J347:L347"/>
    <mergeCell ref="J338:L338"/>
    <mergeCell ref="J339:L339"/>
    <mergeCell ref="J340:L340"/>
    <mergeCell ref="J341:L341"/>
    <mergeCell ref="J342:L342"/>
    <mergeCell ref="J423:L423"/>
    <mergeCell ref="J424:L424"/>
    <mergeCell ref="J185:L185"/>
    <mergeCell ref="J186:L186"/>
    <mergeCell ref="J197:L197"/>
    <mergeCell ref="J198:L198"/>
    <mergeCell ref="J199:L199"/>
    <mergeCell ref="J200:L200"/>
    <mergeCell ref="J201:L201"/>
    <mergeCell ref="J327:L327"/>
    <mergeCell ref="J328:L328"/>
    <mergeCell ref="J239:L239"/>
    <mergeCell ref="J240:L240"/>
    <mergeCell ref="J241:L241"/>
    <mergeCell ref="J242:L242"/>
    <mergeCell ref="J243:L243"/>
    <mergeCell ref="J187:L187"/>
    <mergeCell ref="J188:L188"/>
    <mergeCell ref="J189:L189"/>
    <mergeCell ref="J190:L190"/>
    <mergeCell ref="J191:L191"/>
    <mergeCell ref="J258:L258"/>
    <mergeCell ref="J259:L259"/>
    <mergeCell ref="J260:L260"/>
    <mergeCell ref="J261:L261"/>
    <mergeCell ref="J202:L202"/>
    <mergeCell ref="B180:I180"/>
    <mergeCell ref="B332:I332"/>
    <mergeCell ref="E14:E15"/>
    <mergeCell ref="C17:C18"/>
    <mergeCell ref="D17:D18"/>
    <mergeCell ref="E17:E18"/>
    <mergeCell ref="B24:I24"/>
    <mergeCell ref="J29:L29"/>
    <mergeCell ref="J30:L30"/>
    <mergeCell ref="J31:L31"/>
    <mergeCell ref="J32:L32"/>
    <mergeCell ref="J33:L33"/>
    <mergeCell ref="J34:L34"/>
    <mergeCell ref="J35:L35"/>
    <mergeCell ref="J41:L41"/>
    <mergeCell ref="J42:L42"/>
    <mergeCell ref="J43:L43"/>
    <mergeCell ref="J44:L44"/>
    <mergeCell ref="J45:L45"/>
    <mergeCell ref="J36:L36"/>
    <mergeCell ref="J37:L37"/>
    <mergeCell ref="J38:L38"/>
    <mergeCell ref="J39:L39"/>
    <mergeCell ref="J40:L40"/>
    <mergeCell ref="B1:N1"/>
    <mergeCell ref="B3:N3"/>
    <mergeCell ref="B8:N8"/>
    <mergeCell ref="B22:N22"/>
    <mergeCell ref="B28:I28"/>
    <mergeCell ref="C14:C15"/>
    <mergeCell ref="D14:D15"/>
    <mergeCell ref="C11:C12"/>
    <mergeCell ref="D11:D12"/>
    <mergeCell ref="H9:K9"/>
    <mergeCell ref="E11:E12"/>
    <mergeCell ref="G4:H4"/>
    <mergeCell ref="G5:H5"/>
    <mergeCell ref="J27:L27"/>
    <mergeCell ref="J51:L51"/>
    <mergeCell ref="J52:L52"/>
    <mergeCell ref="J53:L53"/>
    <mergeCell ref="J104:L104"/>
    <mergeCell ref="J105:L105"/>
    <mergeCell ref="J46:L46"/>
    <mergeCell ref="J47:L47"/>
    <mergeCell ref="J48:L48"/>
    <mergeCell ref="J49:L49"/>
    <mergeCell ref="J50:L50"/>
    <mergeCell ref="J54:L54"/>
    <mergeCell ref="J55:L55"/>
    <mergeCell ref="J56:L56"/>
    <mergeCell ref="J57:L57"/>
    <mergeCell ref="J58:L58"/>
    <mergeCell ref="J59:L59"/>
    <mergeCell ref="J60:L60"/>
    <mergeCell ref="J61:L61"/>
    <mergeCell ref="J62:L62"/>
    <mergeCell ref="J63:L63"/>
    <mergeCell ref="J64:L64"/>
    <mergeCell ref="J65:L65"/>
    <mergeCell ref="J66:L66"/>
    <mergeCell ref="J67:L67"/>
    <mergeCell ref="J111:L111"/>
    <mergeCell ref="J112:L112"/>
    <mergeCell ref="J113:L113"/>
    <mergeCell ref="J114:L114"/>
    <mergeCell ref="J115:L115"/>
    <mergeCell ref="J106:L106"/>
    <mergeCell ref="J107:L107"/>
    <mergeCell ref="J108:L108"/>
    <mergeCell ref="J109:L109"/>
    <mergeCell ref="J110:L110"/>
    <mergeCell ref="J121:L121"/>
    <mergeCell ref="J122:L122"/>
    <mergeCell ref="J123:L123"/>
    <mergeCell ref="J124:L124"/>
    <mergeCell ref="J125:L125"/>
    <mergeCell ref="J116:L116"/>
    <mergeCell ref="J117:L117"/>
    <mergeCell ref="J118:L118"/>
    <mergeCell ref="J119:L119"/>
    <mergeCell ref="J120:L120"/>
    <mergeCell ref="J131:L131"/>
    <mergeCell ref="J132:L132"/>
    <mergeCell ref="J133:L133"/>
    <mergeCell ref="J134:L134"/>
    <mergeCell ref="J135:L135"/>
    <mergeCell ref="J126:L126"/>
    <mergeCell ref="J127:L127"/>
    <mergeCell ref="J128:L128"/>
    <mergeCell ref="J129:L129"/>
    <mergeCell ref="J130:L130"/>
    <mergeCell ref="J141:L141"/>
    <mergeCell ref="J142:L142"/>
    <mergeCell ref="J143:L143"/>
    <mergeCell ref="J144:L144"/>
    <mergeCell ref="J145:L145"/>
    <mergeCell ref="J136:L136"/>
    <mergeCell ref="J137:L137"/>
    <mergeCell ref="J138:L138"/>
    <mergeCell ref="J139:L139"/>
    <mergeCell ref="J140:L140"/>
    <mergeCell ref="J146:L146"/>
    <mergeCell ref="J147:L147"/>
    <mergeCell ref="J148:L148"/>
    <mergeCell ref="J149:L149"/>
    <mergeCell ref="J150:L150"/>
    <mergeCell ref="J179:L179"/>
    <mergeCell ref="J153:L153"/>
    <mergeCell ref="J154:L154"/>
    <mergeCell ref="J155:L155"/>
    <mergeCell ref="J156:L156"/>
    <mergeCell ref="J157:L157"/>
    <mergeCell ref="J158:L158"/>
    <mergeCell ref="J159:L159"/>
    <mergeCell ref="J160:L160"/>
    <mergeCell ref="J161:L161"/>
    <mergeCell ref="J162:L162"/>
    <mergeCell ref="J163:L163"/>
    <mergeCell ref="J164:L164"/>
    <mergeCell ref="J165:L165"/>
    <mergeCell ref="J166:L166"/>
    <mergeCell ref="J167:L167"/>
    <mergeCell ref="J168:L168"/>
    <mergeCell ref="J169:L169"/>
    <mergeCell ref="J170:L170"/>
    <mergeCell ref="J151:L151"/>
    <mergeCell ref="J152:L152"/>
    <mergeCell ref="J178:L178"/>
    <mergeCell ref="J181:L181"/>
    <mergeCell ref="J171:L171"/>
    <mergeCell ref="J172:L172"/>
    <mergeCell ref="J173:L173"/>
    <mergeCell ref="J174:L174"/>
    <mergeCell ref="J175:L175"/>
    <mergeCell ref="J176:L176"/>
    <mergeCell ref="J177:L177"/>
    <mergeCell ref="J182:L182"/>
    <mergeCell ref="J183:L183"/>
    <mergeCell ref="J184:L184"/>
    <mergeCell ref="J192:L192"/>
    <mergeCell ref="J193:L193"/>
    <mergeCell ref="J194:L194"/>
    <mergeCell ref="J195:L195"/>
    <mergeCell ref="J196:L196"/>
    <mergeCell ref="J257:L257"/>
    <mergeCell ref="J224:L224"/>
    <mergeCell ref="J225:L225"/>
    <mergeCell ref="J226:L226"/>
    <mergeCell ref="J227:L227"/>
    <mergeCell ref="J228:L228"/>
    <mergeCell ref="J229:L229"/>
    <mergeCell ref="J230:L230"/>
    <mergeCell ref="J231:L231"/>
    <mergeCell ref="J232:L232"/>
    <mergeCell ref="J233:L233"/>
    <mergeCell ref="J234:L234"/>
    <mergeCell ref="J235:L235"/>
    <mergeCell ref="J236:L236"/>
    <mergeCell ref="J237:L237"/>
    <mergeCell ref="J238:L238"/>
    <mergeCell ref="J203:L203"/>
    <mergeCell ref="J204:L204"/>
    <mergeCell ref="J205:L205"/>
    <mergeCell ref="J256:L256"/>
    <mergeCell ref="J206:L206"/>
    <mergeCell ref="J207:L207"/>
    <mergeCell ref="J208:L208"/>
    <mergeCell ref="J209:L209"/>
    <mergeCell ref="J210:L210"/>
    <mergeCell ref="J211:L211"/>
    <mergeCell ref="J212:L212"/>
    <mergeCell ref="J213:L213"/>
    <mergeCell ref="J214:L214"/>
    <mergeCell ref="J215:L215"/>
    <mergeCell ref="J216:L216"/>
    <mergeCell ref="J217:L217"/>
    <mergeCell ref="J218:L218"/>
    <mergeCell ref="J219:L219"/>
    <mergeCell ref="J220:L220"/>
    <mergeCell ref="J221:L221"/>
    <mergeCell ref="J222:L222"/>
    <mergeCell ref="J223:L223"/>
    <mergeCell ref="J244:L244"/>
    <mergeCell ref="J245:L245"/>
    <mergeCell ref="J267:L267"/>
    <mergeCell ref="J268:L268"/>
    <mergeCell ref="J269:L269"/>
    <mergeCell ref="J270:L270"/>
    <mergeCell ref="J271:L271"/>
    <mergeCell ref="J262:L262"/>
    <mergeCell ref="J263:L263"/>
    <mergeCell ref="J264:L264"/>
    <mergeCell ref="J265:L265"/>
    <mergeCell ref="J266:L266"/>
    <mergeCell ref="J277:L277"/>
    <mergeCell ref="J278:L278"/>
    <mergeCell ref="J279:L279"/>
    <mergeCell ref="J280:L280"/>
    <mergeCell ref="J281:L281"/>
    <mergeCell ref="J272:L272"/>
    <mergeCell ref="J273:L273"/>
    <mergeCell ref="J274:L274"/>
    <mergeCell ref="J275:L275"/>
    <mergeCell ref="J276:L276"/>
    <mergeCell ref="J301:L301"/>
    <mergeCell ref="J313:L313"/>
    <mergeCell ref="J314:L314"/>
    <mergeCell ref="J287:L287"/>
    <mergeCell ref="J288:L288"/>
    <mergeCell ref="J289:L289"/>
    <mergeCell ref="J290:L290"/>
    <mergeCell ref="J291:L291"/>
    <mergeCell ref="J282:L282"/>
    <mergeCell ref="J283:L283"/>
    <mergeCell ref="J284:L284"/>
    <mergeCell ref="J285:L285"/>
    <mergeCell ref="J286:L286"/>
    <mergeCell ref="J368:L368"/>
    <mergeCell ref="J369:L369"/>
    <mergeCell ref="J370:L370"/>
    <mergeCell ref="J317:L317"/>
    <mergeCell ref="J318:L318"/>
    <mergeCell ref="J319:L319"/>
    <mergeCell ref="J320:L320"/>
    <mergeCell ref="J321:L321"/>
    <mergeCell ref="J292:L292"/>
    <mergeCell ref="J293:L293"/>
    <mergeCell ref="J294:L294"/>
    <mergeCell ref="J295:L295"/>
    <mergeCell ref="J296:L296"/>
    <mergeCell ref="J306:L306"/>
    <mergeCell ref="J307:L307"/>
    <mergeCell ref="J308:L308"/>
    <mergeCell ref="J309:L309"/>
    <mergeCell ref="J310:L310"/>
    <mergeCell ref="J311:L311"/>
    <mergeCell ref="J312:L312"/>
    <mergeCell ref="J297:L297"/>
    <mergeCell ref="J298:L298"/>
    <mergeCell ref="J299:L299"/>
    <mergeCell ref="J300:L300"/>
    <mergeCell ref="J359:L359"/>
    <mergeCell ref="J360:L360"/>
    <mergeCell ref="J361:L361"/>
    <mergeCell ref="J362:L362"/>
    <mergeCell ref="J363:L363"/>
    <mergeCell ref="J364:L364"/>
    <mergeCell ref="J365:L365"/>
    <mergeCell ref="J366:L366"/>
    <mergeCell ref="J367:L367"/>
    <mergeCell ref="J413:L413"/>
    <mergeCell ref="J414:L414"/>
    <mergeCell ref="J415:L415"/>
    <mergeCell ref="J416:L416"/>
    <mergeCell ref="J417:L417"/>
    <mergeCell ref="J408:L408"/>
    <mergeCell ref="J409:L409"/>
    <mergeCell ref="J410:L410"/>
    <mergeCell ref="J411:L411"/>
    <mergeCell ref="J412:L412"/>
    <mergeCell ref="J425:L425"/>
    <mergeCell ref="J426:L426"/>
    <mergeCell ref="J427:L427"/>
    <mergeCell ref="J418:L418"/>
    <mergeCell ref="J419:L419"/>
    <mergeCell ref="J420:L420"/>
    <mergeCell ref="J421:L421"/>
    <mergeCell ref="J422:L422"/>
    <mergeCell ref="J433:L433"/>
    <mergeCell ref="J434:L434"/>
    <mergeCell ref="J435:L435"/>
    <mergeCell ref="J436:L436"/>
    <mergeCell ref="J437:L437"/>
    <mergeCell ref="J428:L428"/>
    <mergeCell ref="J429:L429"/>
    <mergeCell ref="J430:L430"/>
    <mergeCell ref="J431:L431"/>
    <mergeCell ref="J432:L432"/>
    <mergeCell ref="J443:L443"/>
    <mergeCell ref="J444:L444"/>
    <mergeCell ref="J445:L445"/>
    <mergeCell ref="J446:L446"/>
    <mergeCell ref="J447:L447"/>
    <mergeCell ref="J438:L438"/>
    <mergeCell ref="J439:L439"/>
    <mergeCell ref="J440:L440"/>
    <mergeCell ref="J441:L441"/>
    <mergeCell ref="J442:L442"/>
    <mergeCell ref="J453:L453"/>
    <mergeCell ref="J454:L454"/>
    <mergeCell ref="J455:L455"/>
    <mergeCell ref="J456:L456"/>
    <mergeCell ref="J457:L457"/>
    <mergeCell ref="J448:L448"/>
    <mergeCell ref="J449:L449"/>
    <mergeCell ref="J450:L450"/>
    <mergeCell ref="J451:L451"/>
    <mergeCell ref="J452:L452"/>
    <mergeCell ref="J68:L68"/>
    <mergeCell ref="J69:L69"/>
    <mergeCell ref="J70:L70"/>
    <mergeCell ref="J71:L71"/>
    <mergeCell ref="J72:L72"/>
    <mergeCell ref="J73:L73"/>
    <mergeCell ref="J74:L74"/>
    <mergeCell ref="J75:L75"/>
    <mergeCell ref="J76:L76"/>
    <mergeCell ref="J77:L77"/>
    <mergeCell ref="J78:L78"/>
    <mergeCell ref="J79:L79"/>
    <mergeCell ref="J80:L80"/>
    <mergeCell ref="J81:L81"/>
    <mergeCell ref="J82:L82"/>
    <mergeCell ref="J83:L83"/>
    <mergeCell ref="J84:L84"/>
    <mergeCell ref="J85:L85"/>
    <mergeCell ref="J86:L86"/>
    <mergeCell ref="J87:L87"/>
    <mergeCell ref="J88:L88"/>
    <mergeCell ref="J89:L89"/>
    <mergeCell ref="J90:L90"/>
    <mergeCell ref="J91:L91"/>
    <mergeCell ref="J92:L92"/>
    <mergeCell ref="J93:L93"/>
    <mergeCell ref="J94:L94"/>
    <mergeCell ref="J95:L95"/>
    <mergeCell ref="J96:L96"/>
    <mergeCell ref="J97:L97"/>
    <mergeCell ref="J98:L98"/>
    <mergeCell ref="J99:L99"/>
    <mergeCell ref="J100:L100"/>
    <mergeCell ref="J101:L101"/>
    <mergeCell ref="J102:L102"/>
    <mergeCell ref="J103:L103"/>
    <mergeCell ref="J246:L246"/>
    <mergeCell ref="J247:L247"/>
    <mergeCell ref="J248:L248"/>
    <mergeCell ref="J249:L249"/>
    <mergeCell ref="J250:L250"/>
    <mergeCell ref="J251:L251"/>
    <mergeCell ref="J252:L252"/>
    <mergeCell ref="J253:L253"/>
    <mergeCell ref="J254:L254"/>
    <mergeCell ref="J255:L255"/>
    <mergeCell ref="J358:L358"/>
    <mergeCell ref="J353:L353"/>
    <mergeCell ref="J354:L354"/>
    <mergeCell ref="J355:L355"/>
    <mergeCell ref="J356:L356"/>
    <mergeCell ref="J357:L357"/>
    <mergeCell ref="J348:L348"/>
    <mergeCell ref="J349:L349"/>
    <mergeCell ref="J350:L350"/>
    <mergeCell ref="J351:L351"/>
    <mergeCell ref="J352:L352"/>
    <mergeCell ref="J302:L302"/>
    <mergeCell ref="J303:L303"/>
    <mergeCell ref="J304:L304"/>
    <mergeCell ref="J305:L305"/>
    <mergeCell ref="J331:L331"/>
    <mergeCell ref="J322:L322"/>
    <mergeCell ref="J323:L323"/>
    <mergeCell ref="J324:L324"/>
    <mergeCell ref="J325:L325"/>
    <mergeCell ref="J326:L326"/>
    <mergeCell ref="J315:L315"/>
    <mergeCell ref="J316:L316"/>
    <mergeCell ref="J371:L371"/>
    <mergeCell ref="J372:L372"/>
    <mergeCell ref="J373:L373"/>
    <mergeCell ref="J374:L374"/>
    <mergeCell ref="J375:L375"/>
    <mergeCell ref="J376:L376"/>
    <mergeCell ref="J377:L377"/>
    <mergeCell ref="J378:L378"/>
    <mergeCell ref="J379:L379"/>
    <mergeCell ref="J380:L380"/>
    <mergeCell ref="J381:L381"/>
    <mergeCell ref="J382:L382"/>
    <mergeCell ref="J383:L383"/>
    <mergeCell ref="J384:L384"/>
    <mergeCell ref="J385:L385"/>
    <mergeCell ref="J386:L386"/>
    <mergeCell ref="J387:L387"/>
    <mergeCell ref="J388:L388"/>
    <mergeCell ref="J389:L389"/>
    <mergeCell ref="J390:L390"/>
    <mergeCell ref="J391:L391"/>
    <mergeCell ref="J392:L392"/>
    <mergeCell ref="J393:L393"/>
    <mergeCell ref="J403:L403"/>
    <mergeCell ref="J404:L404"/>
    <mergeCell ref="J405:L405"/>
    <mergeCell ref="J406:L406"/>
    <mergeCell ref="J407:L407"/>
    <mergeCell ref="J394:L394"/>
    <mergeCell ref="J395:L395"/>
    <mergeCell ref="J396:L396"/>
    <mergeCell ref="J397:L397"/>
    <mergeCell ref="J398:L398"/>
    <mergeCell ref="J399:L399"/>
    <mergeCell ref="J400:L400"/>
    <mergeCell ref="J401:L401"/>
    <mergeCell ref="J402:L402"/>
  </mergeCells>
  <conditionalFormatting sqref="I29:I178 I181:I330 I333:I482">
    <cfRule type="cellIs" dxfId="9" priority="3" operator="equal">
      <formula>"Yes"</formula>
    </cfRule>
    <cfRule type="cellIs" dxfId="8" priority="4" operator="equal">
      <formula>"No"</formula>
    </cfRule>
  </conditionalFormatting>
  <conditionalFormatting sqref="J29:L178 J181:L330 J333:L482">
    <cfRule type="cellIs" dxfId="7" priority="1" operator="equal">
      <formula>"Please supply all information"</formula>
    </cfRule>
    <cfRule type="cellIs" dxfId="6" priority="2" operator="equal">
      <formula>"No Error"</formula>
    </cfRule>
  </conditionalFormatting>
  <dataValidations count="6">
    <dataValidation type="list" allowBlank="1" showInputMessage="1" showErrorMessage="1" sqref="C29:C178">
      <formula1>"---,Low/Simple"</formula1>
    </dataValidation>
    <dataValidation type="list" allowBlank="1" showInputMessage="1" showErrorMessage="1" sqref="C181:C330">
      <formula1>"---,Mid"</formula1>
    </dataValidation>
    <dataValidation type="list" allowBlank="1" showInputMessage="1" showErrorMessage="1" sqref="C333:C482">
      <formula1>"---,High"</formula1>
    </dataValidation>
    <dataValidation type="list" allowBlank="1" showInputMessage="1" showErrorMessage="1" sqref="G25">
      <formula1>"---,100%,95%,90%,85%,80%,75%,70%,65%,60%,55%,50%,45%,40%,35%,30%,25%,20%,15%,10%,5%"</formula1>
    </dataValidation>
    <dataValidation type="list" allowBlank="1" showInputMessage="1" showErrorMessage="1" sqref="F12 F15 F18">
      <formula1>$Q$4:$FK$4</formula1>
    </dataValidation>
    <dataValidation type="list" allowBlank="1" showInputMessage="1" showErrorMessage="1" sqref="B12 B18 B15">
      <formula1>"---,5%,10%,15%,20%,25%,30%,35%"</formula1>
    </dataValidation>
  </dataValidations>
  <pageMargins left="0.7" right="0.7" top="0.75" bottom="0.75" header="0.3" footer="0.3"/>
  <pageSetup scale="50" fitToHeight="8" orientation="landscape"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pageSetUpPr fitToPage="1"/>
  </sheetPr>
  <dimension ref="A1:FK482"/>
  <sheetViews>
    <sheetView zoomScale="85" zoomScaleNormal="85" workbookViewId="0">
      <selection activeCell="E335" sqref="E335"/>
    </sheetView>
  </sheetViews>
  <sheetFormatPr defaultRowHeight="15" x14ac:dyDescent="0.25"/>
  <cols>
    <col min="1" max="1" width="5" style="2" customWidth="1"/>
    <col min="2" max="2" width="35" style="2" customWidth="1"/>
    <col min="3" max="3" width="21" style="2" customWidth="1"/>
    <col min="4" max="4" width="19.85546875" style="2" bestFit="1" customWidth="1"/>
    <col min="5" max="5" width="14.28515625" style="2" customWidth="1"/>
    <col min="6" max="6" width="14.140625" style="2" bestFit="1" customWidth="1"/>
    <col min="7" max="7" width="14.140625" style="2" customWidth="1"/>
    <col min="8" max="11" width="18.42578125" style="2" customWidth="1"/>
    <col min="12" max="12" width="17.28515625" style="27" bestFit="1" customWidth="1"/>
    <col min="13" max="13" width="14.7109375" style="2" bestFit="1" customWidth="1"/>
    <col min="14" max="14" width="17.7109375" style="2" customWidth="1"/>
    <col min="15" max="15" width="3" style="2" customWidth="1"/>
    <col min="16" max="16" width="3" style="2" hidden="1" customWidth="1"/>
    <col min="17" max="17" width="11.85546875" style="2" hidden="1" customWidth="1"/>
    <col min="18" max="19" width="9.140625" style="2" hidden="1" customWidth="1"/>
    <col min="20" max="20" width="11.85546875" style="2" hidden="1" customWidth="1"/>
    <col min="21" max="22" width="9.140625" style="2" hidden="1" customWidth="1"/>
    <col min="23" max="23" width="11.85546875" style="2" hidden="1" customWidth="1"/>
    <col min="24" max="28" width="9.140625" style="2" hidden="1" customWidth="1"/>
    <col min="29" max="29" width="23.42578125" style="2" hidden="1" customWidth="1"/>
    <col min="30" max="31" width="9.140625" style="2" hidden="1" customWidth="1"/>
    <col min="32" max="32" width="24.85546875" style="2" hidden="1" customWidth="1"/>
    <col min="33" max="118" width="9.140625" style="2" hidden="1" customWidth="1"/>
    <col min="119" max="167" width="0" style="2" hidden="1" customWidth="1"/>
    <col min="168" max="16384" width="9.140625" style="2"/>
  </cols>
  <sheetData>
    <row r="1" spans="2:167" ht="23.25" x14ac:dyDescent="0.25">
      <c r="B1" s="177" t="s">
        <v>0</v>
      </c>
      <c r="C1" s="177"/>
      <c r="D1" s="177"/>
      <c r="E1" s="177"/>
      <c r="F1" s="177"/>
      <c r="G1" s="177"/>
      <c r="H1" s="177"/>
      <c r="I1" s="177"/>
      <c r="J1" s="177"/>
      <c r="K1" s="177"/>
      <c r="L1" s="177"/>
      <c r="M1" s="177"/>
      <c r="N1" s="177"/>
    </row>
    <row r="2" spans="2:167" x14ac:dyDescent="0.25">
      <c r="L2" s="2"/>
    </row>
    <row r="3" spans="2:167" ht="21" x14ac:dyDescent="0.35">
      <c r="B3" s="178" t="s">
        <v>49</v>
      </c>
      <c r="C3" s="178"/>
      <c r="D3" s="178"/>
      <c r="E3" s="178"/>
      <c r="F3" s="178"/>
      <c r="G3" s="178"/>
      <c r="H3" s="178"/>
      <c r="I3" s="178"/>
      <c r="J3" s="178"/>
      <c r="K3" s="178"/>
      <c r="L3" s="178"/>
      <c r="M3" s="178"/>
      <c r="N3" s="178"/>
    </row>
    <row r="4" spans="2:167" x14ac:dyDescent="0.25">
      <c r="C4" s="35" t="s">
        <v>45</v>
      </c>
      <c r="D4" s="16"/>
      <c r="F4" s="29" t="s">
        <v>1</v>
      </c>
      <c r="G4" s="184">
        <f>'SGO calculation(Tiered or Simp)'!G3:I3</f>
        <v>0</v>
      </c>
      <c r="H4" s="185"/>
      <c r="J4" s="29" t="s">
        <v>72</v>
      </c>
      <c r="K4" s="17" t="e">
        <f>IF(AND(E11=0%,E14&gt;0%,E17&gt;0%),AD12,IF(AND(E14=0%,E11&gt;0%,E17&gt;0%),AD11,IF(AND(E11&gt;0%,E17=0%,E14&gt;0%),AD10,IF(AND(E11=0%,E14=0%,E17&gt;0%),AD15,IF(AND(E11=0%,E14&gt;0%,E17=0%),AD14,IF(AND(E11&gt;0%,E14=0%,E17=0%),AD13,AD9))))))</f>
        <v>#DIV/0!</v>
      </c>
      <c r="M4" s="29" t="s">
        <v>73</v>
      </c>
      <c r="N4" s="17" t="e">
        <f>IF(AND(E11=0%,E14&gt;0%,E17&gt;0%),AG12,IF(AND(E14=0%,E11&gt;0%,E17&gt;0%),AG11,IF(AND(E11&gt;0%,E17=0%,E14&gt;0%),AG10,IF(AND(E11=0%,E14=0%,E17&gt;0%),AG15,IF(AND(E11=0%,E14&gt;0%,E17=0%),AG14,IF(AND(E11&gt;0%,E14=0%,E17=0%),AG13,AG9))))))</f>
        <v>#DIV/0!</v>
      </c>
      <c r="Q4" s="36" t="s">
        <v>57</v>
      </c>
      <c r="R4" s="2">
        <v>1</v>
      </c>
      <c r="S4" s="2">
        <v>2</v>
      </c>
      <c r="T4" s="2">
        <v>3</v>
      </c>
      <c r="U4" s="2">
        <v>4</v>
      </c>
      <c r="V4" s="2">
        <v>5</v>
      </c>
      <c r="W4" s="2">
        <v>6</v>
      </c>
      <c r="X4" s="2">
        <v>7</v>
      </c>
      <c r="Y4" s="2">
        <v>8</v>
      </c>
      <c r="Z4" s="2">
        <v>9</v>
      </c>
      <c r="AA4" s="2">
        <v>10</v>
      </c>
      <c r="AB4" s="2">
        <v>11</v>
      </c>
      <c r="AC4" s="2">
        <v>12</v>
      </c>
      <c r="AD4" s="2">
        <v>13</v>
      </c>
      <c r="AE4" s="2">
        <v>14</v>
      </c>
      <c r="AF4" s="2">
        <v>15</v>
      </c>
      <c r="AG4" s="2">
        <v>16</v>
      </c>
      <c r="AH4" s="2">
        <v>17</v>
      </c>
      <c r="AI4" s="2">
        <v>18</v>
      </c>
      <c r="AJ4" s="2">
        <v>19</v>
      </c>
      <c r="AK4" s="2">
        <v>20</v>
      </c>
      <c r="AL4" s="2">
        <v>21</v>
      </c>
      <c r="AM4" s="2">
        <v>22</v>
      </c>
      <c r="AN4" s="2">
        <v>23</v>
      </c>
      <c r="AO4" s="2">
        <v>24</v>
      </c>
      <c r="AP4" s="2">
        <v>25</v>
      </c>
      <c r="AQ4" s="2">
        <v>26</v>
      </c>
      <c r="AR4" s="2">
        <v>27</v>
      </c>
      <c r="AS4" s="2">
        <v>28</v>
      </c>
      <c r="AT4" s="2">
        <v>29</v>
      </c>
      <c r="AU4" s="2">
        <v>30</v>
      </c>
      <c r="AV4" s="2">
        <v>31</v>
      </c>
      <c r="AW4" s="2">
        <v>32</v>
      </c>
      <c r="AX4" s="2">
        <v>33</v>
      </c>
      <c r="AY4" s="2">
        <v>34</v>
      </c>
      <c r="AZ4" s="2">
        <v>35</v>
      </c>
      <c r="BA4" s="2">
        <v>36</v>
      </c>
      <c r="BB4" s="2">
        <v>37</v>
      </c>
      <c r="BC4" s="2">
        <v>38</v>
      </c>
      <c r="BD4" s="2">
        <v>39</v>
      </c>
      <c r="BE4" s="2">
        <v>40</v>
      </c>
      <c r="BF4" s="2">
        <v>41</v>
      </c>
      <c r="BG4" s="2">
        <v>42</v>
      </c>
      <c r="BH4" s="2">
        <v>43</v>
      </c>
      <c r="BI4" s="2">
        <v>44</v>
      </c>
      <c r="BJ4" s="2">
        <v>45</v>
      </c>
      <c r="BK4" s="2">
        <v>46</v>
      </c>
      <c r="BL4" s="2">
        <v>47</v>
      </c>
      <c r="BM4" s="2">
        <v>48</v>
      </c>
      <c r="BN4" s="2">
        <v>49</v>
      </c>
      <c r="BO4" s="2">
        <v>50</v>
      </c>
      <c r="BP4" s="2">
        <v>51</v>
      </c>
      <c r="BQ4" s="2">
        <v>52</v>
      </c>
      <c r="BR4" s="2">
        <v>53</v>
      </c>
      <c r="BS4" s="2">
        <v>54</v>
      </c>
      <c r="BT4" s="2">
        <v>55</v>
      </c>
      <c r="BU4" s="2">
        <v>56</v>
      </c>
      <c r="BV4" s="2">
        <v>57</v>
      </c>
      <c r="BW4" s="2">
        <v>58</v>
      </c>
      <c r="BX4" s="2">
        <v>59</v>
      </c>
      <c r="BY4" s="2">
        <v>60</v>
      </c>
      <c r="BZ4" s="2">
        <v>61</v>
      </c>
      <c r="CA4" s="2">
        <v>62</v>
      </c>
      <c r="CB4" s="2">
        <v>63</v>
      </c>
      <c r="CC4" s="2">
        <v>64</v>
      </c>
      <c r="CD4" s="2">
        <v>65</v>
      </c>
      <c r="CE4" s="2">
        <v>66</v>
      </c>
      <c r="CF4" s="2">
        <v>67</v>
      </c>
      <c r="CG4" s="2">
        <v>68</v>
      </c>
      <c r="CH4" s="2">
        <v>69</v>
      </c>
      <c r="CI4" s="2">
        <v>70</v>
      </c>
      <c r="CJ4" s="2">
        <v>71</v>
      </c>
      <c r="CK4" s="2">
        <v>72</v>
      </c>
      <c r="CL4" s="2">
        <v>73</v>
      </c>
      <c r="CM4" s="2">
        <v>74</v>
      </c>
      <c r="CN4" s="2">
        <v>75</v>
      </c>
      <c r="CO4" s="2">
        <v>76</v>
      </c>
      <c r="CP4" s="2">
        <v>77</v>
      </c>
      <c r="CQ4" s="2">
        <v>78</v>
      </c>
      <c r="CR4" s="2">
        <v>79</v>
      </c>
      <c r="CS4" s="2">
        <v>80</v>
      </c>
      <c r="CT4" s="2">
        <v>81</v>
      </c>
      <c r="CU4" s="2">
        <v>82</v>
      </c>
      <c r="CV4" s="2">
        <v>83</v>
      </c>
      <c r="CW4" s="2">
        <v>84</v>
      </c>
      <c r="CX4" s="2">
        <v>85</v>
      </c>
      <c r="CY4" s="2">
        <v>86</v>
      </c>
      <c r="CZ4" s="2">
        <v>87</v>
      </c>
      <c r="DA4" s="2">
        <v>88</v>
      </c>
      <c r="DB4" s="2">
        <v>89</v>
      </c>
      <c r="DC4" s="2">
        <v>90</v>
      </c>
      <c r="DD4" s="2">
        <v>91</v>
      </c>
      <c r="DE4" s="2">
        <v>92</v>
      </c>
      <c r="DF4" s="2">
        <v>93</v>
      </c>
      <c r="DG4" s="2">
        <v>94</v>
      </c>
      <c r="DH4" s="2">
        <v>95</v>
      </c>
      <c r="DI4" s="2">
        <v>96</v>
      </c>
      <c r="DJ4" s="2">
        <v>97</v>
      </c>
      <c r="DK4" s="2">
        <v>98</v>
      </c>
      <c r="DL4" s="2">
        <v>99</v>
      </c>
      <c r="DM4" s="2">
        <v>100</v>
      </c>
      <c r="DN4" s="2">
        <v>101</v>
      </c>
      <c r="DO4" s="2">
        <v>102</v>
      </c>
      <c r="DP4" s="2">
        <v>103</v>
      </c>
      <c r="DQ4" s="2">
        <v>104</v>
      </c>
      <c r="DR4" s="2">
        <v>105</v>
      </c>
      <c r="DS4" s="2">
        <v>106</v>
      </c>
      <c r="DT4" s="2">
        <v>107</v>
      </c>
      <c r="DU4" s="2">
        <v>108</v>
      </c>
      <c r="DV4" s="2">
        <v>109</v>
      </c>
      <c r="DW4" s="2">
        <v>110</v>
      </c>
      <c r="DX4" s="2">
        <v>111</v>
      </c>
      <c r="DY4" s="2">
        <v>112</v>
      </c>
      <c r="DZ4" s="2">
        <v>113</v>
      </c>
      <c r="EA4" s="2">
        <v>114</v>
      </c>
      <c r="EB4" s="2">
        <v>115</v>
      </c>
      <c r="EC4" s="2">
        <v>116</v>
      </c>
      <c r="ED4" s="2">
        <v>117</v>
      </c>
      <c r="EE4" s="2">
        <v>118</v>
      </c>
      <c r="EF4" s="2">
        <v>119</v>
      </c>
      <c r="EG4" s="2">
        <v>120</v>
      </c>
      <c r="EH4" s="2">
        <v>121</v>
      </c>
      <c r="EI4" s="2">
        <v>122</v>
      </c>
      <c r="EJ4" s="2">
        <v>123</v>
      </c>
      <c r="EK4" s="2">
        <v>124</v>
      </c>
      <c r="EL4" s="2">
        <v>125</v>
      </c>
      <c r="EM4" s="2">
        <v>126</v>
      </c>
      <c r="EN4" s="2">
        <v>127</v>
      </c>
      <c r="EO4" s="2">
        <v>128</v>
      </c>
      <c r="EP4" s="2">
        <v>129</v>
      </c>
      <c r="EQ4" s="2">
        <v>130</v>
      </c>
      <c r="ER4" s="2">
        <v>131</v>
      </c>
      <c r="ES4" s="2">
        <v>132</v>
      </c>
      <c r="ET4" s="2">
        <v>133</v>
      </c>
      <c r="EU4" s="2">
        <v>134</v>
      </c>
      <c r="EV4" s="2">
        <v>135</v>
      </c>
      <c r="EW4" s="2">
        <v>136</v>
      </c>
      <c r="EX4" s="2">
        <v>137</v>
      </c>
      <c r="EY4" s="2">
        <v>138</v>
      </c>
      <c r="EZ4" s="2">
        <v>139</v>
      </c>
      <c r="FA4" s="2">
        <v>140</v>
      </c>
      <c r="FB4" s="2">
        <v>141</v>
      </c>
      <c r="FC4" s="2">
        <v>142</v>
      </c>
      <c r="FD4" s="2">
        <v>143</v>
      </c>
      <c r="FE4" s="2">
        <v>144</v>
      </c>
      <c r="FF4" s="2">
        <v>145</v>
      </c>
      <c r="FG4" s="2">
        <v>146</v>
      </c>
      <c r="FH4" s="2">
        <v>147</v>
      </c>
      <c r="FI4" s="2">
        <v>148</v>
      </c>
      <c r="FJ4" s="2">
        <v>149</v>
      </c>
      <c r="FK4" s="2">
        <v>150</v>
      </c>
    </row>
    <row r="5" spans="2:167" x14ac:dyDescent="0.25">
      <c r="C5" s="35" t="s">
        <v>46</v>
      </c>
      <c r="D5" s="16"/>
      <c r="F5" s="29" t="s">
        <v>31</v>
      </c>
      <c r="G5" s="184">
        <f>'SGO calculation(Tiered or Simp)'!G5:I5</f>
        <v>0</v>
      </c>
      <c r="H5" s="185"/>
      <c r="J5" s="29" t="s">
        <v>56</v>
      </c>
      <c r="K5" s="18"/>
      <c r="M5" s="29" t="s">
        <v>54</v>
      </c>
      <c r="N5" s="18"/>
    </row>
    <row r="6" spans="2:167" x14ac:dyDescent="0.25">
      <c r="C6" s="35" t="s">
        <v>47</v>
      </c>
      <c r="D6" s="16"/>
      <c r="F6" s="15"/>
      <c r="G6" s="8"/>
      <c r="J6" s="27"/>
    </row>
    <row r="7" spans="2:167" x14ac:dyDescent="0.25">
      <c r="C7" s="15"/>
      <c r="D7" s="27"/>
      <c r="E7" s="27"/>
      <c r="F7" s="27"/>
      <c r="G7" s="27"/>
      <c r="H7" s="27"/>
      <c r="I7" s="27"/>
    </row>
    <row r="8" spans="2:167" ht="21" x14ac:dyDescent="0.35">
      <c r="B8" s="178" t="s">
        <v>48</v>
      </c>
      <c r="C8" s="178"/>
      <c r="D8" s="178"/>
      <c r="E8" s="178"/>
      <c r="F8" s="178"/>
      <c r="G8" s="178"/>
      <c r="H8" s="178"/>
      <c r="I8" s="178"/>
      <c r="J8" s="178"/>
      <c r="K8" s="178"/>
      <c r="L8" s="178"/>
      <c r="M8" s="178"/>
      <c r="N8" s="178"/>
      <c r="Q8" s="30" t="s">
        <v>28</v>
      </c>
      <c r="R8" s="30"/>
      <c r="S8" s="30"/>
      <c r="T8" s="30"/>
      <c r="U8" s="30"/>
    </row>
    <row r="9" spans="2:167" x14ac:dyDescent="0.25">
      <c r="C9" s="40" t="s">
        <v>39</v>
      </c>
      <c r="D9" s="40" t="s">
        <v>2</v>
      </c>
      <c r="E9" s="40" t="s">
        <v>3</v>
      </c>
      <c r="F9" s="40" t="s">
        <v>4</v>
      </c>
      <c r="G9" s="40"/>
      <c r="H9" s="182" t="s">
        <v>5</v>
      </c>
      <c r="I9" s="182"/>
      <c r="J9" s="182"/>
      <c r="K9" s="182"/>
      <c r="L9" s="40" t="s">
        <v>10</v>
      </c>
      <c r="M9" s="40"/>
      <c r="N9" s="40"/>
      <c r="Q9" s="2" t="s">
        <v>25</v>
      </c>
      <c r="T9" s="2" t="s">
        <v>26</v>
      </c>
      <c r="W9" s="5"/>
      <c r="AC9" s="2" t="s">
        <v>64</v>
      </c>
      <c r="AD9" s="2" t="e">
        <f ca="1">(N11+N14+N17)/3</f>
        <v>#VALUE!</v>
      </c>
      <c r="AF9" s="2" t="s">
        <v>65</v>
      </c>
      <c r="AG9" s="2" t="e">
        <f ca="1">((E11*N11)+(E14*N14)+(E17*N17))</f>
        <v>#DIV/0!</v>
      </c>
    </row>
    <row r="10" spans="2:167" x14ac:dyDescent="0.25">
      <c r="C10" s="40"/>
      <c r="D10" s="40"/>
      <c r="E10" s="40"/>
      <c r="F10" s="40" t="s">
        <v>53</v>
      </c>
      <c r="G10" s="40"/>
      <c r="H10" s="40" t="s">
        <v>6</v>
      </c>
      <c r="I10" s="40" t="s">
        <v>7</v>
      </c>
      <c r="J10" s="40" t="s">
        <v>8</v>
      </c>
      <c r="K10" s="40" t="s">
        <v>9</v>
      </c>
      <c r="L10" s="40" t="s">
        <v>11</v>
      </c>
      <c r="M10" s="40"/>
      <c r="N10" s="40"/>
      <c r="Q10" s="2" t="s">
        <v>23</v>
      </c>
      <c r="R10" s="23" t="e">
        <f>R11</f>
        <v>#VALUE!</v>
      </c>
      <c r="S10" s="2" t="e">
        <f>TEXT(R10,"00.0%")</f>
        <v>#VALUE!</v>
      </c>
      <c r="T10" s="2" t="s">
        <v>23</v>
      </c>
      <c r="W10" s="5" t="e">
        <f>ROUNDDOWN(S10,2)</f>
        <v>#VALUE!</v>
      </c>
      <c r="X10" s="2" t="e">
        <f>TEXT(W10,"00%")</f>
        <v>#VALUE!</v>
      </c>
      <c r="AC10" s="2" t="s">
        <v>58</v>
      </c>
      <c r="AD10" s="2" t="e">
        <f ca="1">(N11+N14)/2</f>
        <v>#VALUE!</v>
      </c>
      <c r="AF10" s="2" t="s">
        <v>61</v>
      </c>
      <c r="AG10" s="2" t="e">
        <f ca="1">((E11*N11)+(E14*N14))</f>
        <v>#DIV/0!</v>
      </c>
    </row>
    <row r="11" spans="2:167" x14ac:dyDescent="0.25">
      <c r="B11" s="41" t="s">
        <v>18</v>
      </c>
      <c r="C11" s="180" t="s">
        <v>189</v>
      </c>
      <c r="D11" s="181">
        <f>COUNTA(B29:B178)</f>
        <v>0</v>
      </c>
      <c r="E11" s="183" t="e">
        <f>D11/D20</f>
        <v>#DIV/0!</v>
      </c>
      <c r="F11" s="44" t="e">
        <f>ROUND(F12/D11,2)</f>
        <v>#VALUE!</v>
      </c>
      <c r="G11" s="3"/>
      <c r="H11" s="39" t="e">
        <f>"Greater than "&amp;X10</f>
        <v>#VALUE!</v>
      </c>
      <c r="I11" s="38" t="e">
        <f>X12&amp;" to "&amp;X11</f>
        <v>#VALUE!</v>
      </c>
      <c r="J11" s="39" t="e">
        <f>X14&amp;" to "&amp;X13</f>
        <v>#VALUE!</v>
      </c>
      <c r="K11" s="39" t="e">
        <f>"Less than "&amp;X14</f>
        <v>#VALUE!</v>
      </c>
      <c r="L11" s="4" t="e">
        <f ca="1">L12/D11</f>
        <v>#DIV/0!</v>
      </c>
      <c r="M11" s="29" t="s">
        <v>190</v>
      </c>
      <c r="N11" s="21" t="e">
        <f ca="1">IF(AND(L12&gt;Y11,E11&gt;0%),"4",IF(AND(L12&gt;=Y12,E11&gt;0%),"3",IF(AND(L12&gt;=Y14,E11&gt;0%),"2",IF(AND(L12&gt;0,E11&gt;0%),"1","1"))))</f>
        <v>#VALUE!</v>
      </c>
      <c r="Q11" s="2" t="s">
        <v>19</v>
      </c>
      <c r="R11" s="5" t="e">
        <f>F11+(B12/2)</f>
        <v>#VALUE!</v>
      </c>
      <c r="S11" s="2" t="e">
        <f>TEXT(R11,"00.0%")</f>
        <v>#VALUE!</v>
      </c>
      <c r="T11" s="2" t="s">
        <v>19</v>
      </c>
      <c r="U11" s="2" t="e">
        <f>S11*D11</f>
        <v>#VALUE!</v>
      </c>
      <c r="V11" s="2" t="e">
        <f>ROUNDDOWN(U11,0)</f>
        <v>#VALUE!</v>
      </c>
      <c r="W11" s="5" t="e">
        <f>ROUNDDOWN(S11,2)</f>
        <v>#VALUE!</v>
      </c>
      <c r="X11" s="2" t="e">
        <f t="shared" ref="X11:X23" si="0">TEXT(W11,"00%")</f>
        <v>#VALUE!</v>
      </c>
      <c r="Y11" s="2" t="e">
        <f>V11</f>
        <v>#VALUE!</v>
      </c>
      <c r="AC11" s="2" t="s">
        <v>59</v>
      </c>
      <c r="AD11" s="2" t="e">
        <f ca="1">(N11+N17)/2</f>
        <v>#VALUE!</v>
      </c>
      <c r="AF11" s="2" t="s">
        <v>62</v>
      </c>
      <c r="AG11" s="2" t="e">
        <f ca="1">((E11*N11)+(E17*N17))</f>
        <v>#DIV/0!</v>
      </c>
    </row>
    <row r="12" spans="2:167" x14ac:dyDescent="0.25">
      <c r="B12" s="1">
        <v>0.15</v>
      </c>
      <c r="C12" s="180"/>
      <c r="D12" s="181"/>
      <c r="E12" s="181"/>
      <c r="F12" s="16" t="s">
        <v>57</v>
      </c>
      <c r="G12" s="3"/>
      <c r="H12" s="39" t="e">
        <f>"Greater Than "&amp;Y11</f>
        <v>#VALUE!</v>
      </c>
      <c r="I12" s="39" t="e">
        <f>Y12&amp;" to "&amp;Y11</f>
        <v>#VALUE!</v>
      </c>
      <c r="J12" s="39" t="e">
        <f>Y14&amp;" to "&amp;Y13</f>
        <v>#VALUE!</v>
      </c>
      <c r="K12" s="39" t="e">
        <f>"Less than "&amp;Y14</f>
        <v>#VALUE!</v>
      </c>
      <c r="L12" s="26">
        <f ca="1">COUNTIF(I29:I178,"Yes")</f>
        <v>0</v>
      </c>
      <c r="M12" s="29" t="s">
        <v>12</v>
      </c>
      <c r="N12" s="28"/>
      <c r="Q12" s="2" t="s">
        <v>20</v>
      </c>
      <c r="R12" s="5" t="e">
        <f>F11-(B12/2)</f>
        <v>#VALUE!</v>
      </c>
      <c r="S12" s="2" t="e">
        <f>TEXT(R12,"00.0%")</f>
        <v>#VALUE!</v>
      </c>
      <c r="T12" s="2" t="s">
        <v>20</v>
      </c>
      <c r="U12" s="2" t="e">
        <f>S12*D11</f>
        <v>#VALUE!</v>
      </c>
      <c r="V12" s="2" t="e">
        <f>ROUNDUP(U12,0)</f>
        <v>#VALUE!</v>
      </c>
      <c r="W12" s="5" t="e">
        <f>ROUNDUP(S12,2)</f>
        <v>#VALUE!</v>
      </c>
      <c r="X12" s="2" t="e">
        <f t="shared" si="0"/>
        <v>#VALUE!</v>
      </c>
      <c r="Y12" s="2" t="e">
        <f>IF(V12&gt;V11,V11,V12)</f>
        <v>#VALUE!</v>
      </c>
      <c r="AC12" s="2" t="s">
        <v>60</v>
      </c>
      <c r="AD12" s="2" t="e">
        <f ca="1">(N14+N17)/2</f>
        <v>#VALUE!</v>
      </c>
      <c r="AF12" s="2" t="s">
        <v>63</v>
      </c>
      <c r="AG12" s="2" t="e">
        <f ca="1">((E14*N14)+(E17*N17))</f>
        <v>#DIV/0!</v>
      </c>
    </row>
    <row r="13" spans="2:167" x14ac:dyDescent="0.25">
      <c r="C13" s="54"/>
      <c r="D13" s="14"/>
      <c r="E13" s="14"/>
      <c r="F13" s="27"/>
      <c r="G13" s="6"/>
      <c r="M13" s="29"/>
      <c r="N13" s="14"/>
      <c r="Q13" s="2" t="s">
        <v>21</v>
      </c>
      <c r="R13" s="5" t="e">
        <f>R12-0.0001</f>
        <v>#VALUE!</v>
      </c>
      <c r="S13" s="2" t="e">
        <f>TEXT(R13,"00.00%")</f>
        <v>#VALUE!</v>
      </c>
      <c r="T13" s="2" t="s">
        <v>21</v>
      </c>
      <c r="U13" s="2" t="e">
        <f>S13*D11</f>
        <v>#VALUE!</v>
      </c>
      <c r="V13" s="2" t="e">
        <f>ROUNDDOWN(U13,0)</f>
        <v>#VALUE!</v>
      </c>
      <c r="W13" s="5" t="e">
        <f>W12-1%</f>
        <v>#VALUE!</v>
      </c>
      <c r="X13" s="2" t="e">
        <f t="shared" si="0"/>
        <v>#VALUE!</v>
      </c>
      <c r="Y13" s="2" t="e">
        <f>V13</f>
        <v>#VALUE!</v>
      </c>
      <c r="AC13" s="2" t="s">
        <v>66</v>
      </c>
      <c r="AD13" s="2" t="e">
        <f ca="1">N11</f>
        <v>#VALUE!</v>
      </c>
      <c r="AF13" s="2" t="s">
        <v>66</v>
      </c>
      <c r="AG13" s="2" t="e">
        <f ca="1">N11</f>
        <v>#VALUE!</v>
      </c>
    </row>
    <row r="14" spans="2:167" x14ac:dyDescent="0.25">
      <c r="B14" s="41" t="s">
        <v>18</v>
      </c>
      <c r="C14" s="180" t="s">
        <v>55</v>
      </c>
      <c r="D14" s="181">
        <f>COUNTA(B181:B330)</f>
        <v>0</v>
      </c>
      <c r="E14" s="183" t="e">
        <f>D14/D20</f>
        <v>#DIV/0!</v>
      </c>
      <c r="F14" s="44" t="e">
        <f>ROUND(F15/D14,2)</f>
        <v>#VALUE!</v>
      </c>
      <c r="G14" s="3"/>
      <c r="H14" s="39" t="e">
        <f>"Greater than "&amp;X19</f>
        <v>#VALUE!</v>
      </c>
      <c r="I14" s="38" t="e">
        <f>X21&amp;" to "&amp;X20</f>
        <v>#VALUE!</v>
      </c>
      <c r="J14" s="39" t="e">
        <f>X23&amp;" to "&amp;X22</f>
        <v>#VALUE!</v>
      </c>
      <c r="K14" s="39" t="e">
        <f>"Less than "&amp;X23</f>
        <v>#VALUE!</v>
      </c>
      <c r="L14" s="4" t="e">
        <f ca="1">L15/D14</f>
        <v>#DIV/0!</v>
      </c>
      <c r="M14" s="29" t="s">
        <v>29</v>
      </c>
      <c r="N14" s="21" t="e">
        <f ca="1">IF(AND(L15&gt;Y20,E14&gt;0%),"4",IF(AND(L15&gt;=Y21,E14&gt;0%),"3",IF(AND(L15&gt;=Y23,E14&gt;0%),"2",IF(AND(L15&gt;0,E14&gt;0%),"1","1"))))</f>
        <v>#VALUE!</v>
      </c>
      <c r="Q14" s="2" t="s">
        <v>22</v>
      </c>
      <c r="R14" s="5" t="e">
        <f>R12-B12</f>
        <v>#VALUE!</v>
      </c>
      <c r="S14" s="2" t="e">
        <f>TEXT(R14,"00.0%")</f>
        <v>#VALUE!</v>
      </c>
      <c r="T14" s="2" t="s">
        <v>22</v>
      </c>
      <c r="U14" s="2" t="e">
        <f>S14*D11</f>
        <v>#VALUE!</v>
      </c>
      <c r="V14" s="2" t="e">
        <f>ROUNDUP(U14,0)</f>
        <v>#VALUE!</v>
      </c>
      <c r="W14" s="5" t="e">
        <f>ROUNDUP(S14,2)</f>
        <v>#VALUE!</v>
      </c>
      <c r="X14" s="2" t="e">
        <f t="shared" si="0"/>
        <v>#VALUE!</v>
      </c>
      <c r="Y14" s="2" t="e">
        <f>IF(V14&gt;V13,V13,V14)</f>
        <v>#VALUE!</v>
      </c>
      <c r="AC14" s="2" t="s">
        <v>67</v>
      </c>
      <c r="AD14" s="2" t="e">
        <f ca="1">N14</f>
        <v>#VALUE!</v>
      </c>
      <c r="AF14" s="2" t="s">
        <v>67</v>
      </c>
      <c r="AG14" s="2" t="e">
        <f ca="1">N14</f>
        <v>#VALUE!</v>
      </c>
    </row>
    <row r="15" spans="2:167" x14ac:dyDescent="0.25">
      <c r="B15" s="1">
        <v>0.15</v>
      </c>
      <c r="C15" s="180"/>
      <c r="D15" s="181"/>
      <c r="E15" s="181"/>
      <c r="F15" s="16" t="s">
        <v>57</v>
      </c>
      <c r="G15" s="3"/>
      <c r="H15" s="39" t="e">
        <f>"Greater Than "&amp;Y20</f>
        <v>#VALUE!</v>
      </c>
      <c r="I15" s="39" t="e">
        <f>Y21&amp;" to "&amp;Y20</f>
        <v>#VALUE!</v>
      </c>
      <c r="J15" s="39" t="e">
        <f>Y23&amp;" to "&amp;Y22</f>
        <v>#VALUE!</v>
      </c>
      <c r="K15" s="39" t="e">
        <f>"Less than "&amp;Y23</f>
        <v>#VALUE!</v>
      </c>
      <c r="L15" s="26">
        <f ca="1">COUNTIF(I181:I330,"Yes")</f>
        <v>0</v>
      </c>
      <c r="M15" s="29" t="s">
        <v>12</v>
      </c>
      <c r="N15" s="22"/>
      <c r="Q15" s="2" t="s">
        <v>24</v>
      </c>
      <c r="R15" s="5" t="e">
        <f>R14</f>
        <v>#VALUE!</v>
      </c>
      <c r="S15" s="2" t="e">
        <f>TEXT(R15,"00.0%")</f>
        <v>#VALUE!</v>
      </c>
      <c r="T15" s="2" t="s">
        <v>24</v>
      </c>
      <c r="W15" s="5"/>
      <c r="AC15" s="2" t="s">
        <v>68</v>
      </c>
      <c r="AD15" s="2" t="e">
        <f ca="1">N17</f>
        <v>#VALUE!</v>
      </c>
      <c r="AF15" s="2" t="s">
        <v>68</v>
      </c>
      <c r="AG15" s="2" t="e">
        <f ca="1">N17</f>
        <v>#VALUE!</v>
      </c>
    </row>
    <row r="16" spans="2:167" x14ac:dyDescent="0.25">
      <c r="C16" s="42"/>
      <c r="D16" s="55"/>
      <c r="E16" s="55"/>
      <c r="F16" s="8"/>
      <c r="G16" s="9"/>
      <c r="H16" s="7"/>
      <c r="I16" s="7"/>
      <c r="J16" s="7"/>
      <c r="K16" s="7"/>
      <c r="L16" s="7"/>
      <c r="M16" s="29"/>
      <c r="N16" s="14"/>
    </row>
    <row r="17" spans="1:33" x14ac:dyDescent="0.25">
      <c r="B17" s="41" t="s">
        <v>18</v>
      </c>
      <c r="C17" s="180" t="s">
        <v>38</v>
      </c>
      <c r="D17" s="181">
        <f>COUNTA(B333:B482)</f>
        <v>0</v>
      </c>
      <c r="E17" s="183" t="e">
        <f>D17/D20</f>
        <v>#DIV/0!</v>
      </c>
      <c r="F17" s="44" t="e">
        <f>ROUND(F18/D17,2)</f>
        <v>#VALUE!</v>
      </c>
      <c r="G17" s="3"/>
      <c r="H17" s="39" t="e">
        <f>"Greater than "&amp;X28</f>
        <v>#VALUE!</v>
      </c>
      <c r="I17" s="38" t="e">
        <f>X30&amp;" to "&amp;X29</f>
        <v>#VALUE!</v>
      </c>
      <c r="J17" s="39" t="e">
        <f>X32&amp;" to "&amp;X31</f>
        <v>#VALUE!</v>
      </c>
      <c r="K17" s="39" t="e">
        <f>"Less than "&amp;X32</f>
        <v>#VALUE!</v>
      </c>
      <c r="L17" s="4" t="e">
        <f ca="1">L18/D17</f>
        <v>#DIV/0!</v>
      </c>
      <c r="M17" s="29" t="s">
        <v>28</v>
      </c>
      <c r="N17" s="21" t="e">
        <f ca="1">IF(AND(L18&gt;Y29,E17&gt;0%),"4",IF(AND(L18&gt;=Y30,E17&gt;0%),"3",IF(AND(L18&gt;=Y32,E17&gt;0%),"2",IF(AND(L18&gt;0,E17&gt;0%),"1","1"))))</f>
        <v>#VALUE!</v>
      </c>
      <c r="Q17" s="30" t="s">
        <v>29</v>
      </c>
      <c r="R17" s="30"/>
      <c r="S17" s="30"/>
      <c r="T17" s="30"/>
      <c r="U17" s="30"/>
    </row>
    <row r="18" spans="1:33" x14ac:dyDescent="0.25">
      <c r="B18" s="1">
        <v>0.15</v>
      </c>
      <c r="C18" s="180"/>
      <c r="D18" s="181"/>
      <c r="E18" s="181"/>
      <c r="F18" s="16" t="s">
        <v>57</v>
      </c>
      <c r="G18" s="3"/>
      <c r="H18" s="39" t="e">
        <f>"Greater Than "&amp;Y29</f>
        <v>#VALUE!</v>
      </c>
      <c r="I18" s="39" t="e">
        <f>Y30&amp;" to "&amp;Y29</f>
        <v>#VALUE!</v>
      </c>
      <c r="J18" s="39" t="e">
        <f>Y32&amp;" to "&amp;Y31</f>
        <v>#VALUE!</v>
      </c>
      <c r="K18" s="39" t="e">
        <f>"Less than "&amp;Y32</f>
        <v>#VALUE!</v>
      </c>
      <c r="L18" s="26">
        <f ca="1">COUNTIF(I333:I482,"yes")</f>
        <v>0</v>
      </c>
      <c r="M18" s="29" t="s">
        <v>12</v>
      </c>
      <c r="N18" s="22"/>
      <c r="Q18" s="2" t="s">
        <v>25</v>
      </c>
      <c r="T18" s="2" t="s">
        <v>26</v>
      </c>
      <c r="U18" s="32"/>
      <c r="V18" s="32"/>
      <c r="W18" s="32"/>
      <c r="X18" s="32"/>
      <c r="Y18" s="32"/>
      <c r="Z18" s="32"/>
      <c r="AA18" s="32"/>
      <c r="AB18" s="32"/>
      <c r="AC18" s="32"/>
    </row>
    <row r="19" spans="1:33" s="6" customFormat="1" x14ac:dyDescent="0.25">
      <c r="C19" s="8"/>
      <c r="D19" s="8"/>
      <c r="E19" s="8"/>
      <c r="F19" s="9"/>
      <c r="G19" s="9"/>
      <c r="H19" s="9"/>
      <c r="I19" s="9"/>
      <c r="J19" s="9"/>
      <c r="K19" s="9"/>
      <c r="L19" s="8"/>
      <c r="M19" s="25"/>
      <c r="Q19" s="2" t="s">
        <v>23</v>
      </c>
      <c r="R19" s="23" t="e">
        <f>R20</f>
        <v>#VALUE!</v>
      </c>
      <c r="S19" s="2" t="e">
        <f>TEXT(R19,"00.00%")</f>
        <v>#VALUE!</v>
      </c>
      <c r="T19" s="2" t="s">
        <v>23</v>
      </c>
      <c r="U19" s="32"/>
      <c r="V19" s="33"/>
      <c r="W19" s="34" t="e">
        <f>ROUNDDOWN(R19,2)</f>
        <v>#VALUE!</v>
      </c>
      <c r="X19" s="32" t="e">
        <f t="shared" si="0"/>
        <v>#VALUE!</v>
      </c>
      <c r="Y19" s="33"/>
      <c r="Z19" s="33"/>
      <c r="AA19" s="33"/>
      <c r="AB19" s="33"/>
      <c r="AC19" s="33"/>
    </row>
    <row r="20" spans="1:33" s="6" customFormat="1" x14ac:dyDescent="0.25">
      <c r="C20" s="10" t="s">
        <v>17</v>
      </c>
      <c r="D20" s="10">
        <f>D11+D14+D17</f>
        <v>0</v>
      </c>
      <c r="E20" s="24" t="e">
        <f>ROUND(E11+E14+E17,0)</f>
        <v>#DIV/0!</v>
      </c>
      <c r="F20" s="9"/>
      <c r="G20" s="9"/>
      <c r="H20" s="9"/>
      <c r="I20" s="9"/>
      <c r="J20" s="9"/>
      <c r="K20" s="9"/>
      <c r="L20" s="8"/>
      <c r="Q20" s="2" t="s">
        <v>19</v>
      </c>
      <c r="R20" s="5" t="e">
        <f>F14+(B15/2)</f>
        <v>#VALUE!</v>
      </c>
      <c r="S20" s="2" t="e">
        <f>TEXT(R20,"00.00%")</f>
        <v>#VALUE!</v>
      </c>
      <c r="T20" s="2" t="s">
        <v>19</v>
      </c>
      <c r="U20" s="32" t="e">
        <f>D14*S20</f>
        <v>#VALUE!</v>
      </c>
      <c r="V20" s="33" t="e">
        <f>ROUNDDOWN(U20,0)</f>
        <v>#VALUE!</v>
      </c>
      <c r="W20" s="34" t="e">
        <f>ROUNDDOWN(R20,2)</f>
        <v>#VALUE!</v>
      </c>
      <c r="X20" s="32" t="e">
        <f t="shared" si="0"/>
        <v>#VALUE!</v>
      </c>
      <c r="Y20" s="33" t="e">
        <f>V20</f>
        <v>#VALUE!</v>
      </c>
      <c r="Z20" s="33"/>
      <c r="AA20" s="33"/>
      <c r="AB20" s="33"/>
      <c r="AC20" s="33"/>
    </row>
    <row r="21" spans="1:33" x14ac:dyDescent="0.25">
      <c r="C21" s="7"/>
      <c r="D21" s="7"/>
      <c r="E21" s="7"/>
      <c r="F21" s="9"/>
      <c r="G21" s="9"/>
      <c r="H21" s="11"/>
      <c r="I21" s="11"/>
      <c r="J21" s="11"/>
      <c r="K21" s="11"/>
      <c r="L21" s="7"/>
      <c r="Q21" s="2" t="s">
        <v>20</v>
      </c>
      <c r="R21" s="5" t="e">
        <f>F14-(B15/2)</f>
        <v>#VALUE!</v>
      </c>
      <c r="S21" s="2" t="e">
        <f>TEXT(R21,"00.00%")</f>
        <v>#VALUE!</v>
      </c>
      <c r="T21" s="2" t="s">
        <v>20</v>
      </c>
      <c r="U21" s="32" t="e">
        <f>D14*S21</f>
        <v>#VALUE!</v>
      </c>
      <c r="V21" s="33" t="e">
        <f>ROUNDUP(U21,0)</f>
        <v>#VALUE!</v>
      </c>
      <c r="W21" s="31" t="e">
        <f>ROUNDUP(R21,2)</f>
        <v>#VALUE!</v>
      </c>
      <c r="X21" s="32" t="e">
        <f t="shared" si="0"/>
        <v>#VALUE!</v>
      </c>
      <c r="Y21" s="32" t="e">
        <f>IF(V21&gt;V20,V20,V21)</f>
        <v>#VALUE!</v>
      </c>
      <c r="Z21" s="32"/>
      <c r="AA21" s="32"/>
      <c r="AB21" s="32"/>
      <c r="AC21" s="32"/>
    </row>
    <row r="22" spans="1:33" s="12" customFormat="1" ht="21" x14ac:dyDescent="0.35">
      <c r="A22" s="2"/>
      <c r="B22" s="178" t="s">
        <v>13</v>
      </c>
      <c r="C22" s="178"/>
      <c r="D22" s="178"/>
      <c r="E22" s="178"/>
      <c r="F22" s="178"/>
      <c r="G22" s="178"/>
      <c r="H22" s="178"/>
      <c r="I22" s="178"/>
      <c r="J22" s="178"/>
      <c r="K22" s="178"/>
      <c r="L22" s="178"/>
      <c r="M22" s="178"/>
      <c r="N22" s="178"/>
      <c r="Q22" s="2" t="s">
        <v>21</v>
      </c>
      <c r="R22" s="5" t="e">
        <f>R21-0.0001</f>
        <v>#VALUE!</v>
      </c>
      <c r="S22" s="2" t="e">
        <f>TEXT(R22,"00.00%")</f>
        <v>#VALUE!</v>
      </c>
      <c r="T22" s="2" t="s">
        <v>21</v>
      </c>
      <c r="U22" s="32" t="e">
        <f>D14*S22</f>
        <v>#VALUE!</v>
      </c>
      <c r="V22" s="33" t="e">
        <f t="shared" ref="V22" si="1">ROUNDDOWN(U22,0)</f>
        <v>#VALUE!</v>
      </c>
      <c r="W22" s="31" t="e">
        <f>W21-1%</f>
        <v>#VALUE!</v>
      </c>
      <c r="X22" s="32" t="e">
        <f t="shared" si="0"/>
        <v>#VALUE!</v>
      </c>
      <c r="Y22" s="32" t="e">
        <f>V22</f>
        <v>#VALUE!</v>
      </c>
      <c r="Z22" s="32"/>
      <c r="AA22" s="32"/>
      <c r="AB22" s="32"/>
      <c r="AC22" s="32"/>
    </row>
    <row r="23" spans="1:33" s="12" customFormat="1" x14ac:dyDescent="0.25">
      <c r="A23" s="2"/>
      <c r="B23" s="2"/>
      <c r="C23" s="2"/>
      <c r="D23" s="2"/>
      <c r="E23" s="2"/>
      <c r="F23" s="2"/>
      <c r="G23" s="2"/>
      <c r="H23" s="2"/>
      <c r="I23" s="2"/>
      <c r="J23" s="2"/>
      <c r="K23" s="2"/>
      <c r="L23" s="27"/>
      <c r="M23" s="2"/>
      <c r="N23" s="2"/>
      <c r="Q23" s="2" t="s">
        <v>22</v>
      </c>
      <c r="R23" s="5" t="e">
        <f>R21-B15</f>
        <v>#VALUE!</v>
      </c>
      <c r="S23" s="2" t="e">
        <f>TEXT(R23,"00.00%")</f>
        <v>#VALUE!</v>
      </c>
      <c r="T23" s="2" t="s">
        <v>22</v>
      </c>
      <c r="U23" s="32" t="e">
        <f>D14*S23</f>
        <v>#VALUE!</v>
      </c>
      <c r="V23" s="33" t="e">
        <f>ROUNDUP(U23,0)</f>
        <v>#VALUE!</v>
      </c>
      <c r="W23" s="31" t="e">
        <f>ROUNDUP(R23,2)</f>
        <v>#VALUE!</v>
      </c>
      <c r="X23" s="32" t="e">
        <f t="shared" si="0"/>
        <v>#VALUE!</v>
      </c>
      <c r="Y23" s="32" t="e">
        <f>IF(V23&gt;V22,V22,V23)</f>
        <v>#VALUE!</v>
      </c>
      <c r="Z23" s="32"/>
      <c r="AA23" s="32"/>
      <c r="AB23" s="32"/>
      <c r="AC23" s="32"/>
    </row>
    <row r="24" spans="1:33" ht="23.25" x14ac:dyDescent="0.35">
      <c r="B24" s="186" t="s">
        <v>74</v>
      </c>
      <c r="C24" s="186"/>
      <c r="D24" s="186"/>
      <c r="E24" s="186"/>
      <c r="F24" s="186"/>
      <c r="G24" s="186"/>
      <c r="H24" s="186"/>
      <c r="I24" s="186"/>
      <c r="J24" s="13"/>
      <c r="K24" s="13"/>
      <c r="L24" s="13"/>
      <c r="M24" s="13"/>
      <c r="N24" s="13"/>
      <c r="Q24" s="2" t="s">
        <v>24</v>
      </c>
      <c r="R24" s="5"/>
      <c r="S24" s="2" t="str">
        <f t="shared" ref="S24" si="2">TEXT(R24,"00%")</f>
        <v>00%</v>
      </c>
      <c r="T24" s="2" t="s">
        <v>24</v>
      </c>
      <c r="U24" s="32"/>
      <c r="V24" s="32"/>
      <c r="W24" s="32"/>
      <c r="X24" s="32"/>
      <c r="Y24" s="32"/>
      <c r="Z24" s="32"/>
      <c r="AA24" s="32"/>
      <c r="AB24" s="32"/>
      <c r="AC24" s="32"/>
    </row>
    <row r="25" spans="1:33" x14ac:dyDescent="0.25">
      <c r="B25" s="13"/>
      <c r="C25" s="13"/>
      <c r="D25" s="40"/>
      <c r="E25" s="40"/>
      <c r="F25" s="20" t="s">
        <v>27</v>
      </c>
      <c r="G25" s="135">
        <v>0.5</v>
      </c>
      <c r="H25" s="13"/>
      <c r="I25" s="13"/>
      <c r="J25" s="13"/>
      <c r="K25" s="13"/>
      <c r="L25" s="13"/>
      <c r="M25" s="13"/>
      <c r="N25" s="13"/>
      <c r="U25" s="32"/>
      <c r="V25" s="32"/>
      <c r="W25" s="32"/>
      <c r="X25" s="32"/>
      <c r="Y25" s="32"/>
      <c r="Z25" s="32"/>
      <c r="AA25" s="32"/>
      <c r="AB25" s="32"/>
      <c r="AC25" s="32"/>
    </row>
    <row r="26" spans="1:33" x14ac:dyDescent="0.25">
      <c r="B26" s="13"/>
      <c r="C26" s="13"/>
      <c r="D26" s="40"/>
      <c r="E26" s="40"/>
      <c r="F26" s="40"/>
      <c r="G26" s="40"/>
      <c r="H26" s="40"/>
      <c r="I26" s="40"/>
      <c r="J26" s="13"/>
      <c r="K26" s="13"/>
      <c r="L26" s="13"/>
      <c r="M26" s="13"/>
      <c r="N26" s="13"/>
      <c r="Q26" s="30" t="s">
        <v>30</v>
      </c>
      <c r="R26" s="30"/>
      <c r="S26" s="30"/>
      <c r="T26" s="30"/>
      <c r="U26" s="30"/>
    </row>
    <row r="27" spans="1:33" ht="18.75" x14ac:dyDescent="0.3">
      <c r="B27" s="19" t="s">
        <v>14</v>
      </c>
      <c r="C27" s="19" t="s">
        <v>39</v>
      </c>
      <c r="D27" s="40" t="s">
        <v>40</v>
      </c>
      <c r="E27" s="40" t="s">
        <v>41</v>
      </c>
      <c r="F27" s="40" t="s">
        <v>42</v>
      </c>
      <c r="G27" s="40" t="s">
        <v>43</v>
      </c>
      <c r="H27" s="40" t="s">
        <v>44</v>
      </c>
      <c r="I27" s="40" t="s">
        <v>16</v>
      </c>
      <c r="J27" s="175" t="s">
        <v>187</v>
      </c>
      <c r="K27" s="175"/>
      <c r="L27" s="175"/>
      <c r="M27" s="13"/>
      <c r="N27" s="13"/>
      <c r="Q27" s="2" t="s">
        <v>25</v>
      </c>
      <c r="T27" s="2" t="s">
        <v>26</v>
      </c>
    </row>
    <row r="28" spans="1:33" ht="21" x14ac:dyDescent="0.25">
      <c r="B28" s="179" t="s">
        <v>188</v>
      </c>
      <c r="C28" s="179"/>
      <c r="D28" s="179"/>
      <c r="E28" s="179"/>
      <c r="F28" s="179"/>
      <c r="G28" s="179"/>
      <c r="H28" s="179"/>
      <c r="I28" s="179"/>
      <c r="J28" s="45"/>
      <c r="K28" s="45"/>
      <c r="L28" s="45"/>
      <c r="M28" s="37"/>
      <c r="N28" s="43"/>
      <c r="Q28" s="2" t="s">
        <v>23</v>
      </c>
      <c r="R28" s="23" t="e">
        <f>R29</f>
        <v>#VALUE!</v>
      </c>
      <c r="S28" s="2" t="e">
        <f t="shared" ref="S28:S33" si="3">TEXT(R28,"00.00%")</f>
        <v>#VALUE!</v>
      </c>
      <c r="T28" s="2" t="s">
        <v>23</v>
      </c>
      <c r="U28" s="32"/>
      <c r="V28" s="33"/>
      <c r="W28" s="34" t="e">
        <f>ROUNDDOWN(R28,2)</f>
        <v>#VALUE!</v>
      </c>
      <c r="X28" s="32" t="e">
        <f t="shared" ref="X28:X32" si="4">TEXT(W28,"00%")</f>
        <v>#VALUE!</v>
      </c>
      <c r="Y28" s="33"/>
      <c r="AA28" s="27" t="s">
        <v>181</v>
      </c>
      <c r="AB28" s="27" t="s">
        <v>182</v>
      </c>
      <c r="AC28" s="27" t="s">
        <v>183</v>
      </c>
      <c r="AD28" s="27" t="s">
        <v>184</v>
      </c>
      <c r="AE28" s="27" t="s">
        <v>185</v>
      </c>
      <c r="AF28" s="27" t="s">
        <v>186</v>
      </c>
      <c r="AG28" s="27" t="s">
        <v>191</v>
      </c>
    </row>
    <row r="29" spans="1:33" x14ac:dyDescent="0.25">
      <c r="A29" s="2">
        <v>1</v>
      </c>
      <c r="B29" s="63"/>
      <c r="C29" s="56"/>
      <c r="D29" s="56"/>
      <c r="E29" s="56"/>
      <c r="F29" s="56"/>
      <c r="G29" s="56"/>
      <c r="H29" s="56"/>
      <c r="I29" s="116" t="str">
        <f ca="1">IF(AND(INDIRECT("H29")&gt;=INDIRECT("F29"),AA29=0,AB29=0,AC29=0,AF29=0),"Yes",IF(AND(INDIRECT("H29")&lt;INDIRECT("F29"),AA29=0,AB29=0,AC29=0,AF29=0),"No","N/A"))</f>
        <v>N/A</v>
      </c>
      <c r="J29" s="176" t="str">
        <f ca="1">IF(AND(AF29=0,AG29=0,AA29=0,AB29=0,AC29=0,AD29=0),"No Error",IF(AND(AF29=1,AG29=1,AA29=1,AB29=1,AC29=1,AD29=1),"No Error","Please supply all information"))</f>
        <v>No Error</v>
      </c>
      <c r="K29" s="176"/>
      <c r="L29" s="176"/>
      <c r="Q29" s="2" t="s">
        <v>19</v>
      </c>
      <c r="R29" s="5" t="e">
        <f>F17+(B18/2)</f>
        <v>#VALUE!</v>
      </c>
      <c r="S29" s="2" t="e">
        <f t="shared" si="3"/>
        <v>#VALUE!</v>
      </c>
      <c r="T29" s="2" t="s">
        <v>19</v>
      </c>
      <c r="U29" s="32" t="e">
        <f>D17*X29</f>
        <v>#VALUE!</v>
      </c>
      <c r="V29" s="33" t="e">
        <f>ROUNDDOWN(U29,0)</f>
        <v>#VALUE!</v>
      </c>
      <c r="W29" s="34" t="e">
        <f>ROUNDDOWN(R29,2)</f>
        <v>#VALUE!</v>
      </c>
      <c r="X29" s="32" t="e">
        <f t="shared" si="4"/>
        <v>#VALUE!</v>
      </c>
      <c r="Y29" s="33" t="e">
        <f>V29</f>
        <v>#VALUE!</v>
      </c>
      <c r="AA29" s="27">
        <f ca="1">COUNTBLANK(INDIRECT("C29"))</f>
        <v>1</v>
      </c>
      <c r="AB29" s="27">
        <f ca="1">COUNTBLANK(INDIRECT("D29"))</f>
        <v>1</v>
      </c>
      <c r="AC29" s="27">
        <f ca="1">COUNTBLANK(INDIRECT("E29"))</f>
        <v>1</v>
      </c>
      <c r="AD29" s="27">
        <f ca="1">COUNTBLANK(INDIRECT("F29"))</f>
        <v>1</v>
      </c>
      <c r="AE29" s="27">
        <f ca="1">COUNTBLANK(INDIRECT("G29"))</f>
        <v>1</v>
      </c>
      <c r="AF29" s="27">
        <f ca="1">COUNTBLANK(INDIRECT("H29"))</f>
        <v>1</v>
      </c>
      <c r="AG29" s="27">
        <f ca="1">COUNTBLANK(INDIRECT("B29"))</f>
        <v>1</v>
      </c>
    </row>
    <row r="30" spans="1:33" x14ac:dyDescent="0.25">
      <c r="A30" s="2">
        <v>2</v>
      </c>
      <c r="B30" s="63"/>
      <c r="C30" s="56"/>
      <c r="D30" s="56"/>
      <c r="E30" s="56"/>
      <c r="F30" s="56"/>
      <c r="G30" s="56"/>
      <c r="H30" s="56"/>
      <c r="I30" s="116" t="str">
        <f ca="1">IF(AND(INDIRECT("H30")&gt;=INDIRECT("F30"),AA30=0,AB30=0,AC30=0,AF30=0),"Yes",IF(AND(INDIRECT("H30")&lt;INDIRECT("F30"),AA30=0,AB30=0,AC30=0,AF30=0),"No","N/A"))</f>
        <v>N/A</v>
      </c>
      <c r="J30" s="176" t="str">
        <f t="shared" ref="J30:J93" ca="1" si="5">IF(AND(AF30=0,AG30=0,AA30=0,AB30=0,AC30=0,AD30=0),"No Error",IF(AND(AF30=1,AG30=1,AA30=1,AB30=1,AC30=1,AD30=1),"No Error","Please supply all information"))</f>
        <v>No Error</v>
      </c>
      <c r="K30" s="176"/>
      <c r="L30" s="176"/>
      <c r="Q30" s="2" t="s">
        <v>20</v>
      </c>
      <c r="R30" s="5" t="e">
        <f>F17-(B18/2)</f>
        <v>#VALUE!</v>
      </c>
      <c r="S30" s="2" t="e">
        <f t="shared" si="3"/>
        <v>#VALUE!</v>
      </c>
      <c r="T30" s="2" t="s">
        <v>20</v>
      </c>
      <c r="U30" s="32" t="e">
        <f>D17*X30</f>
        <v>#VALUE!</v>
      </c>
      <c r="V30" s="33" t="e">
        <f>ROUNDUP(U30,0)</f>
        <v>#VALUE!</v>
      </c>
      <c r="W30" s="31" t="e">
        <f>ROUNDUP(R30,2)</f>
        <v>#VALUE!</v>
      </c>
      <c r="X30" s="32" t="e">
        <f t="shared" si="4"/>
        <v>#VALUE!</v>
      </c>
      <c r="Y30" s="32" t="e">
        <f>IF(V30&gt;V29,V29,V30)</f>
        <v>#VALUE!</v>
      </c>
      <c r="AA30" s="27">
        <f ca="1">COUNTBLANK(INDIRECT("C30"))</f>
        <v>1</v>
      </c>
      <c r="AB30" s="27">
        <f ca="1">COUNTBLANK(INDIRECT("D30"))</f>
        <v>1</v>
      </c>
      <c r="AC30" s="27">
        <f ca="1">COUNTBLANK(INDIRECT("E30"))</f>
        <v>1</v>
      </c>
      <c r="AD30" s="27">
        <f ca="1">COUNTBLANK(INDIRECT("F30"))</f>
        <v>1</v>
      </c>
      <c r="AE30" s="27">
        <f ca="1">COUNTBLANK(INDIRECT("G30"))</f>
        <v>1</v>
      </c>
      <c r="AF30" s="27">
        <f ca="1">COUNTBLANK(INDIRECT("H30"))</f>
        <v>1</v>
      </c>
      <c r="AG30" s="27">
        <f ca="1">COUNTBLANK(INDIRECT("B30"))</f>
        <v>1</v>
      </c>
    </row>
    <row r="31" spans="1:33" x14ac:dyDescent="0.25">
      <c r="A31" s="2">
        <v>3</v>
      </c>
      <c r="B31" s="63"/>
      <c r="C31" s="56"/>
      <c r="D31" s="56"/>
      <c r="E31" s="56"/>
      <c r="F31" s="56"/>
      <c r="G31" s="56"/>
      <c r="H31" s="56"/>
      <c r="I31" s="116" t="str">
        <f ca="1">IF(AND(INDIRECT("H31")&gt;=INDIRECT("F31"),AA31=0,AB31=0,AC31=0,AF31=0),"Yes",IF(AND(INDIRECT("H31")&lt;INDIRECT("F31"),AA31=0,AB31=0,AC31=0,AF31=0),"No","N/A"))</f>
        <v>N/A</v>
      </c>
      <c r="J31" s="176" t="str">
        <f t="shared" ca="1" si="5"/>
        <v>No Error</v>
      </c>
      <c r="K31" s="176"/>
      <c r="L31" s="176"/>
      <c r="Q31" s="2" t="s">
        <v>21</v>
      </c>
      <c r="R31" s="5" t="e">
        <f>R30-0.0001</f>
        <v>#VALUE!</v>
      </c>
      <c r="S31" s="2" t="e">
        <f t="shared" si="3"/>
        <v>#VALUE!</v>
      </c>
      <c r="T31" s="2" t="s">
        <v>21</v>
      </c>
      <c r="U31" s="32" t="e">
        <f>D17*X31</f>
        <v>#VALUE!</v>
      </c>
      <c r="V31" s="33" t="e">
        <f t="shared" ref="V31" si="6">ROUNDDOWN(U31,0)</f>
        <v>#VALUE!</v>
      </c>
      <c r="W31" s="31" t="e">
        <f>W30-1%</f>
        <v>#VALUE!</v>
      </c>
      <c r="X31" s="32" t="e">
        <f t="shared" si="4"/>
        <v>#VALUE!</v>
      </c>
      <c r="Y31" s="32" t="e">
        <f>V31</f>
        <v>#VALUE!</v>
      </c>
      <c r="AA31" s="27">
        <f ca="1">COUNTBLANK(INDIRECT("C31"))</f>
        <v>1</v>
      </c>
      <c r="AB31" s="27">
        <f ca="1">COUNTBLANK(INDIRECT("D31"))</f>
        <v>1</v>
      </c>
      <c r="AC31" s="27">
        <f ca="1">COUNTBLANK(INDIRECT("E31"))</f>
        <v>1</v>
      </c>
      <c r="AD31" s="27">
        <f ca="1">COUNTBLANK(INDIRECT("F31"))</f>
        <v>1</v>
      </c>
      <c r="AE31" s="27">
        <f ca="1">COUNTBLANK(INDIRECT("G31"))</f>
        <v>1</v>
      </c>
      <c r="AF31" s="27">
        <f ca="1">COUNTBLANK(INDIRECT("H31"))</f>
        <v>1</v>
      </c>
      <c r="AG31" s="27">
        <f ca="1">COUNTBLANK(INDIRECT("B31"))</f>
        <v>1</v>
      </c>
    </row>
    <row r="32" spans="1:33" x14ac:dyDescent="0.25">
      <c r="A32" s="2">
        <v>4</v>
      </c>
      <c r="B32" s="63"/>
      <c r="C32" s="56"/>
      <c r="D32" s="56"/>
      <c r="E32" s="56"/>
      <c r="F32" s="56"/>
      <c r="G32" s="56"/>
      <c r="H32" s="56"/>
      <c r="I32" s="116" t="str">
        <f ca="1">IF(AND(INDIRECT("H32")&gt;=INDIRECT("F32"),AA32=0,AB32=0,AC32=0,AF32=0),"Yes",IF(AND(INDIRECT("H32")&lt;INDIRECT("F32"),AA32=0,AB32=0,AC32=0,AF32=0),"No","N/A"))</f>
        <v>N/A</v>
      </c>
      <c r="J32" s="176" t="str">
        <f t="shared" ca="1" si="5"/>
        <v>No Error</v>
      </c>
      <c r="K32" s="176"/>
      <c r="L32" s="176"/>
      <c r="Q32" s="2" t="s">
        <v>22</v>
      </c>
      <c r="R32" s="5" t="e">
        <f>R30-B18</f>
        <v>#VALUE!</v>
      </c>
      <c r="S32" s="2" t="e">
        <f t="shared" si="3"/>
        <v>#VALUE!</v>
      </c>
      <c r="T32" s="2" t="s">
        <v>22</v>
      </c>
      <c r="U32" s="32" t="e">
        <f>D17*X32</f>
        <v>#VALUE!</v>
      </c>
      <c r="V32" s="33" t="e">
        <f>ROUNDUP(U32,0)</f>
        <v>#VALUE!</v>
      </c>
      <c r="W32" s="31" t="e">
        <f>ROUNDUP(R32,2)</f>
        <v>#VALUE!</v>
      </c>
      <c r="X32" s="32" t="e">
        <f t="shared" si="4"/>
        <v>#VALUE!</v>
      </c>
      <c r="Y32" s="32" t="e">
        <f>IF(V32&gt;V31,V31,V32)</f>
        <v>#VALUE!</v>
      </c>
      <c r="AA32" s="27">
        <f ca="1">COUNTBLANK(INDIRECT("C32"))</f>
        <v>1</v>
      </c>
      <c r="AB32" s="27">
        <f ca="1">COUNTBLANK(INDIRECT("D32"))</f>
        <v>1</v>
      </c>
      <c r="AC32" s="27">
        <f ca="1">COUNTBLANK(INDIRECT("E32"))</f>
        <v>1</v>
      </c>
      <c r="AD32" s="27">
        <f ca="1">COUNTBLANK(INDIRECT("F32"))</f>
        <v>1</v>
      </c>
      <c r="AE32" s="27">
        <f ca="1">COUNTBLANK(INDIRECT("G32"))</f>
        <v>1</v>
      </c>
      <c r="AF32" s="27">
        <f ca="1">COUNTBLANK(INDIRECT("H32"))</f>
        <v>1</v>
      </c>
      <c r="AG32" s="27">
        <f ca="1">COUNTBLANK(INDIRECT("B32"))</f>
        <v>1</v>
      </c>
    </row>
    <row r="33" spans="1:33" x14ac:dyDescent="0.25">
      <c r="A33" s="2">
        <v>5</v>
      </c>
      <c r="B33" s="63"/>
      <c r="C33" s="56"/>
      <c r="D33" s="56"/>
      <c r="E33" s="56"/>
      <c r="F33" s="56"/>
      <c r="G33" s="56"/>
      <c r="H33" s="56"/>
      <c r="I33" s="116" t="str">
        <f ca="1">IF(AND(INDIRECT("H33")&gt;=INDIRECT("F33"),AA33=0,AB33=0,AC33=0,AF33=0),"Yes",IF(AND(INDIRECT("H33")&lt;INDIRECT("F33"),AA33=0,AB33=0,AC33=0,AF33=0),"No","N/A"))</f>
        <v>N/A</v>
      </c>
      <c r="J33" s="176" t="str">
        <f t="shared" ca="1" si="5"/>
        <v>No Error</v>
      </c>
      <c r="K33" s="176"/>
      <c r="L33" s="176"/>
      <c r="Q33" s="2" t="s">
        <v>24</v>
      </c>
      <c r="R33" s="5"/>
      <c r="S33" s="2" t="str">
        <f t="shared" si="3"/>
        <v>00.00%</v>
      </c>
      <c r="T33" s="2" t="s">
        <v>24</v>
      </c>
      <c r="AA33" s="27">
        <f ca="1">COUNTBLANK(INDIRECT("C33"))</f>
        <v>1</v>
      </c>
      <c r="AB33" s="27">
        <f ca="1">COUNTBLANK(INDIRECT("D33"))</f>
        <v>1</v>
      </c>
      <c r="AC33" s="27">
        <f ca="1">COUNTBLANK(INDIRECT("E33"))</f>
        <v>1</v>
      </c>
      <c r="AD33" s="27">
        <f ca="1">COUNTBLANK(INDIRECT("F33"))</f>
        <v>1</v>
      </c>
      <c r="AE33" s="27">
        <f ca="1">COUNTBLANK(INDIRECT("G33"))</f>
        <v>1</v>
      </c>
      <c r="AF33" s="27">
        <f ca="1">COUNTBLANK(INDIRECT("H33"))</f>
        <v>1</v>
      </c>
      <c r="AG33" s="27">
        <f ca="1">COUNTBLANK(INDIRECT("B33"))</f>
        <v>1</v>
      </c>
    </row>
    <row r="34" spans="1:33" x14ac:dyDescent="0.25">
      <c r="A34" s="2">
        <v>6</v>
      </c>
      <c r="B34" s="63"/>
      <c r="C34" s="56"/>
      <c r="D34" s="56"/>
      <c r="E34" s="56"/>
      <c r="F34" s="56"/>
      <c r="G34" s="56"/>
      <c r="H34" s="56"/>
      <c r="I34" s="116" t="str">
        <f ca="1">IF(AND(INDIRECT("H34")&gt;=INDIRECT("F34"),AA34=0,AB34=0,AC34=0,AF34=0),"Yes",IF(AND(INDIRECT("H34")&lt;INDIRECT("F34"),AA34=0,AB34=0,AC34=0,AF34=0),"No","N/A"))</f>
        <v>N/A</v>
      </c>
      <c r="J34" s="176" t="str">
        <f t="shared" ca="1" si="5"/>
        <v>No Error</v>
      </c>
      <c r="K34" s="176"/>
      <c r="L34" s="176"/>
      <c r="R34" s="5"/>
      <c r="AA34" s="27">
        <f ca="1">COUNTBLANK(INDIRECT("C34"))</f>
        <v>1</v>
      </c>
      <c r="AB34" s="27">
        <f ca="1">COUNTBLANK(INDIRECT("D34"))</f>
        <v>1</v>
      </c>
      <c r="AC34" s="27">
        <f ca="1">COUNTBLANK(INDIRECT("E34"))</f>
        <v>1</v>
      </c>
      <c r="AD34" s="27">
        <f ca="1">COUNTBLANK(INDIRECT("F34"))</f>
        <v>1</v>
      </c>
      <c r="AE34" s="27">
        <f ca="1">COUNTBLANK(INDIRECT("G34"))</f>
        <v>1</v>
      </c>
      <c r="AF34" s="27">
        <f ca="1">COUNTBLANK(INDIRECT("H34"))</f>
        <v>1</v>
      </c>
      <c r="AG34" s="27">
        <f ca="1">COUNTBLANK(INDIRECT("B34"))</f>
        <v>1</v>
      </c>
    </row>
    <row r="35" spans="1:33" x14ac:dyDescent="0.25">
      <c r="A35" s="2">
        <v>7</v>
      </c>
      <c r="B35" s="63"/>
      <c r="C35" s="56"/>
      <c r="D35" s="56"/>
      <c r="E35" s="56"/>
      <c r="F35" s="56"/>
      <c r="G35" s="56"/>
      <c r="H35" s="56"/>
      <c r="I35" s="116" t="str">
        <f ca="1">IF(AND(INDIRECT("H35")&gt;=INDIRECT("F35"),AA35=0,AB35=0,AC35=0,AF35=0),"Yes",IF(AND(INDIRECT("H35")&lt;INDIRECT("F35"),AA35=0,AB35=0,AC35=0,AF35=0),"No","N/A"))</f>
        <v>N/A</v>
      </c>
      <c r="J35" s="176" t="str">
        <f t="shared" ca="1" si="5"/>
        <v>No Error</v>
      </c>
      <c r="K35" s="176"/>
      <c r="L35" s="176"/>
      <c r="R35" s="5"/>
      <c r="AA35" s="27">
        <f ca="1">COUNTBLANK(INDIRECT("C35"))</f>
        <v>1</v>
      </c>
      <c r="AB35" s="27">
        <f ca="1">COUNTBLANK(INDIRECT("D35"))</f>
        <v>1</v>
      </c>
      <c r="AC35" s="27">
        <f ca="1">COUNTBLANK(INDIRECT("E35"))</f>
        <v>1</v>
      </c>
      <c r="AD35" s="27">
        <f ca="1">COUNTBLANK(INDIRECT("F35"))</f>
        <v>1</v>
      </c>
      <c r="AE35" s="27">
        <f ca="1">COUNTBLANK(INDIRECT("G35"))</f>
        <v>1</v>
      </c>
      <c r="AF35" s="27">
        <f ca="1">COUNTBLANK(INDIRECT("H35"))</f>
        <v>1</v>
      </c>
      <c r="AG35" s="27">
        <f ca="1">COUNTBLANK(INDIRECT("B35"))</f>
        <v>1</v>
      </c>
    </row>
    <row r="36" spans="1:33" x14ac:dyDescent="0.25">
      <c r="A36" s="2">
        <v>8</v>
      </c>
      <c r="B36" s="63"/>
      <c r="C36" s="56"/>
      <c r="D36" s="56"/>
      <c r="E36" s="56"/>
      <c r="F36" s="56"/>
      <c r="G36" s="56"/>
      <c r="H36" s="56"/>
      <c r="I36" s="116" t="str">
        <f ca="1">IF(AND(INDIRECT("H36")&gt;=INDIRECT("F36"),AA36=0,AB36=0,AC36=0,AF36=0),"Yes",IF(AND(INDIRECT("H36")&lt;INDIRECT("F36"),AA36=0,AB36=0,AC36=0,AF36=0),"No","N/A"))</f>
        <v>N/A</v>
      </c>
      <c r="J36" s="176" t="str">
        <f t="shared" ca="1" si="5"/>
        <v>No Error</v>
      </c>
      <c r="K36" s="176"/>
      <c r="L36" s="176"/>
      <c r="Q36" s="27"/>
      <c r="R36" s="125" t="s">
        <v>362</v>
      </c>
      <c r="S36" s="27" t="s">
        <v>363</v>
      </c>
      <c r="T36" s="27" t="s">
        <v>364</v>
      </c>
      <c r="U36" s="27" t="s">
        <v>365</v>
      </c>
      <c r="AA36" s="27">
        <f ca="1">COUNTBLANK(INDIRECT("C36"))</f>
        <v>1</v>
      </c>
      <c r="AB36" s="27">
        <f ca="1">COUNTBLANK(INDIRECT("D36"))</f>
        <v>1</v>
      </c>
      <c r="AC36" s="27">
        <f ca="1">COUNTBLANK(INDIRECT("E36"))</f>
        <v>1</v>
      </c>
      <c r="AD36" s="27">
        <f ca="1">COUNTBLANK(INDIRECT("F36"))</f>
        <v>1</v>
      </c>
      <c r="AE36" s="27">
        <f ca="1">COUNTBLANK(INDIRECT("G36"))</f>
        <v>1</v>
      </c>
      <c r="AF36" s="27">
        <f ca="1">COUNTBLANK(INDIRECT("H36"))</f>
        <v>1</v>
      </c>
      <c r="AG36" s="27">
        <f ca="1">COUNTBLANK(INDIRECT("B36"))</f>
        <v>1</v>
      </c>
    </row>
    <row r="37" spans="1:33" x14ac:dyDescent="0.25">
      <c r="A37" s="2">
        <v>9</v>
      </c>
      <c r="B37" s="63"/>
      <c r="C37" s="56"/>
      <c r="D37" s="56"/>
      <c r="E37" s="56"/>
      <c r="F37" s="56"/>
      <c r="G37" s="56"/>
      <c r="H37" s="56"/>
      <c r="I37" s="116" t="str">
        <f ca="1">IF(AND(INDIRECT("H37")&gt;=INDIRECT("F37"),AA37=0,AB37=0,AC37=0,AF37=0),"Yes",IF(AND(INDIRECT("H37")&lt;INDIRECT("F37"),AA37=0,AB37=0,AC37=0,AF37=0),"No","N/A"))</f>
        <v>N/A</v>
      </c>
      <c r="J37" s="176" t="str">
        <f t="shared" ca="1" si="5"/>
        <v>No Error</v>
      </c>
      <c r="K37" s="176"/>
      <c r="L37" s="176"/>
      <c r="Q37" s="27" t="s">
        <v>361</v>
      </c>
      <c r="R37" s="126">
        <f ca="1">MAX(INDIRECT("F29:F178"))</f>
        <v>0</v>
      </c>
      <c r="S37" s="126">
        <f ca="1">MIN(INDIRECT("F29:F178"))</f>
        <v>0</v>
      </c>
      <c r="T37" s="126">
        <f ca="1">R37-S37</f>
        <v>0</v>
      </c>
      <c r="U37" s="27" t="str">
        <f ca="1">S37&amp;" to "&amp;R37</f>
        <v>0 to 0</v>
      </c>
      <c r="AA37" s="27">
        <f ca="1">COUNTBLANK(INDIRECT("C37"))</f>
        <v>1</v>
      </c>
      <c r="AB37" s="27">
        <f ca="1">COUNTBLANK(INDIRECT("D37"))</f>
        <v>1</v>
      </c>
      <c r="AC37" s="27">
        <f ca="1">COUNTBLANK(INDIRECT("E37"))</f>
        <v>1</v>
      </c>
      <c r="AD37" s="27">
        <f ca="1">COUNTBLANK(INDIRECT("F37"))</f>
        <v>1</v>
      </c>
      <c r="AE37" s="27">
        <f ca="1">COUNTBLANK(INDIRECT("G37"))</f>
        <v>1</v>
      </c>
      <c r="AF37" s="27">
        <f ca="1">COUNTBLANK(INDIRECT("H37"))</f>
        <v>1</v>
      </c>
      <c r="AG37" s="27">
        <f ca="1">COUNTBLANK(INDIRECT("B37"))</f>
        <v>1</v>
      </c>
    </row>
    <row r="38" spans="1:33" x14ac:dyDescent="0.25">
      <c r="A38" s="2">
        <v>10</v>
      </c>
      <c r="B38" s="63"/>
      <c r="C38" s="56"/>
      <c r="D38" s="56"/>
      <c r="E38" s="56"/>
      <c r="F38" s="56"/>
      <c r="G38" s="56"/>
      <c r="H38" s="56"/>
      <c r="I38" s="116" t="str">
        <f ca="1">IF(AND(INDIRECT("H38")&gt;=INDIRECT("F38"),AA38=0,AB38=0,AC38=0,AF38=0),"Yes",IF(AND(INDIRECT("H38")&lt;INDIRECT("F38"),AA38=0,AB38=0,AC38=0,AF38=0),"No","N/A"))</f>
        <v>N/A</v>
      </c>
      <c r="J38" s="176" t="str">
        <f t="shared" ca="1" si="5"/>
        <v>No Error</v>
      </c>
      <c r="K38" s="176"/>
      <c r="L38" s="176"/>
      <c r="Q38" s="27" t="s">
        <v>55</v>
      </c>
      <c r="R38" s="126">
        <f ca="1">MAX(INDIRECT("f181:f330"))</f>
        <v>0</v>
      </c>
      <c r="S38" s="126">
        <f ca="1">MIN(INDIRECT("f181:f330"))</f>
        <v>0</v>
      </c>
      <c r="T38" s="126">
        <f t="shared" ref="T38:T39" ca="1" si="7">R38-S38</f>
        <v>0</v>
      </c>
      <c r="U38" s="27" t="str">
        <f t="shared" ref="U38:U39" ca="1" si="8">S38&amp;" to "&amp;R38</f>
        <v>0 to 0</v>
      </c>
      <c r="AA38" s="27">
        <f ca="1">COUNTBLANK(INDIRECT("C38"))</f>
        <v>1</v>
      </c>
      <c r="AB38" s="27">
        <f ca="1">COUNTBLANK(INDIRECT("D38"))</f>
        <v>1</v>
      </c>
      <c r="AC38" s="27">
        <f ca="1">COUNTBLANK(INDIRECT("E38"))</f>
        <v>1</v>
      </c>
      <c r="AD38" s="27">
        <f ca="1">COUNTBLANK(INDIRECT("F38"))</f>
        <v>1</v>
      </c>
      <c r="AE38" s="27">
        <f ca="1">COUNTBLANK(INDIRECT("G38"))</f>
        <v>1</v>
      </c>
      <c r="AF38" s="27">
        <f ca="1">COUNTBLANK(INDIRECT("H38"))</f>
        <v>1</v>
      </c>
      <c r="AG38" s="27">
        <f ca="1">COUNTBLANK(INDIRECT("B38"))</f>
        <v>1</v>
      </c>
    </row>
    <row r="39" spans="1:33" x14ac:dyDescent="0.25">
      <c r="A39" s="2">
        <v>11</v>
      </c>
      <c r="B39" s="63"/>
      <c r="C39" s="56"/>
      <c r="D39" s="56"/>
      <c r="E39" s="56"/>
      <c r="F39" s="56"/>
      <c r="G39" s="56"/>
      <c r="H39" s="56"/>
      <c r="I39" s="116" t="str">
        <f ca="1">IF(AND(INDIRECT("H39")&gt;=INDIRECT("F39"),AA39=0,AB39=0,AC39=0,AF39=0),"Yes",IF(AND(INDIRECT("H39")&lt;INDIRECT("F39"),AA39=0,AB39=0,AC39=0,AF39=0),"No","N/A"))</f>
        <v>N/A</v>
      </c>
      <c r="J39" s="176" t="str">
        <f t="shared" ca="1" si="5"/>
        <v>No Error</v>
      </c>
      <c r="K39" s="176"/>
      <c r="L39" s="176"/>
      <c r="Q39" s="27" t="s">
        <v>38</v>
      </c>
      <c r="R39" s="126">
        <f ca="1">MAX(INDIRECT("f333:f482"))</f>
        <v>0</v>
      </c>
      <c r="S39" s="126">
        <f ca="1">MIN(INDIRECT("f333:f482"))</f>
        <v>0</v>
      </c>
      <c r="T39" s="126">
        <f t="shared" ca="1" si="7"/>
        <v>0</v>
      </c>
      <c r="U39" s="27" t="str">
        <f t="shared" ca="1" si="8"/>
        <v>0 to 0</v>
      </c>
      <c r="AA39" s="27">
        <f ca="1">COUNTBLANK(INDIRECT("C39"))</f>
        <v>1</v>
      </c>
      <c r="AB39" s="27">
        <f ca="1">COUNTBLANK(INDIRECT("D39"))</f>
        <v>1</v>
      </c>
      <c r="AC39" s="27">
        <f ca="1">COUNTBLANK(INDIRECT("E39"))</f>
        <v>1</v>
      </c>
      <c r="AD39" s="27">
        <f ca="1">COUNTBLANK(INDIRECT("F39"))</f>
        <v>1</v>
      </c>
      <c r="AE39" s="27">
        <f ca="1">COUNTBLANK(INDIRECT("G39"))</f>
        <v>1</v>
      </c>
      <c r="AF39" s="27">
        <f ca="1">COUNTBLANK(INDIRECT("H39"))</f>
        <v>1</v>
      </c>
      <c r="AG39" s="27">
        <f ca="1">COUNTBLANK(INDIRECT("B39"))</f>
        <v>1</v>
      </c>
    </row>
    <row r="40" spans="1:33" x14ac:dyDescent="0.25">
      <c r="A40" s="2">
        <v>12</v>
      </c>
      <c r="B40" s="63"/>
      <c r="C40" s="56"/>
      <c r="D40" s="56"/>
      <c r="E40" s="56"/>
      <c r="F40" s="56"/>
      <c r="G40" s="56"/>
      <c r="H40" s="56"/>
      <c r="I40" s="116" t="str">
        <f ca="1">IF(AND(INDIRECT("H40")&gt;=INDIRECT("F40"),AA40=0,AB40=0,AC40=0,AF40=0),"Yes",IF(AND(INDIRECT("H40")&lt;INDIRECT("F40"),AA40=0,AB40=0,AC40=0,AF40=0),"No","N/A"))</f>
        <v>N/A</v>
      </c>
      <c r="J40" s="176" t="str">
        <f t="shared" ca="1" si="5"/>
        <v>No Error</v>
      </c>
      <c r="K40" s="176"/>
      <c r="L40" s="176"/>
      <c r="R40" s="5"/>
      <c r="AA40" s="27">
        <f ca="1">COUNTBLANK(INDIRECT("C40"))</f>
        <v>1</v>
      </c>
      <c r="AB40" s="27">
        <f ca="1">COUNTBLANK(INDIRECT("D40"))</f>
        <v>1</v>
      </c>
      <c r="AC40" s="27">
        <f ca="1">COUNTBLANK(INDIRECT("E40"))</f>
        <v>1</v>
      </c>
      <c r="AD40" s="27">
        <f ca="1">COUNTBLANK(INDIRECT("F40"))</f>
        <v>1</v>
      </c>
      <c r="AE40" s="27">
        <f ca="1">COUNTBLANK(INDIRECT("G40"))</f>
        <v>1</v>
      </c>
      <c r="AF40" s="27">
        <f ca="1">COUNTBLANK(INDIRECT("H40"))</f>
        <v>1</v>
      </c>
      <c r="AG40" s="27">
        <f ca="1">COUNTBLANK(INDIRECT("B40"))</f>
        <v>1</v>
      </c>
    </row>
    <row r="41" spans="1:33" x14ac:dyDescent="0.25">
      <c r="A41" s="2">
        <v>13</v>
      </c>
      <c r="B41" s="63"/>
      <c r="C41" s="56"/>
      <c r="D41" s="56"/>
      <c r="E41" s="56"/>
      <c r="F41" s="56"/>
      <c r="G41" s="56"/>
      <c r="H41" s="56"/>
      <c r="I41" s="117" t="str">
        <f ca="1">IF(AND(INDIRECT("H41")&gt;=INDIRECT("F41"),AA41=0,AB41=0,AC41=0,AF41=0),"Yes",IF(AND(INDIRECT("H41")&lt;INDIRECT("F41"),AA41=0,AB41=0,AC41=0,AF41=0),"No","N/A"))</f>
        <v>N/A</v>
      </c>
      <c r="J41" s="176" t="str">
        <f t="shared" ca="1" si="5"/>
        <v>No Error</v>
      </c>
      <c r="K41" s="176"/>
      <c r="L41" s="176"/>
      <c r="R41" s="5"/>
      <c r="AA41" s="27">
        <f ca="1">COUNTBLANK(INDIRECT("C41"))</f>
        <v>1</v>
      </c>
      <c r="AB41" s="27">
        <f ca="1">COUNTBLANK(INDIRECT("D41"))</f>
        <v>1</v>
      </c>
      <c r="AC41" s="27">
        <f ca="1">COUNTBLANK(INDIRECT("E41"))</f>
        <v>1</v>
      </c>
      <c r="AD41" s="27">
        <f ca="1">COUNTBLANK(INDIRECT("F41"))</f>
        <v>1</v>
      </c>
      <c r="AE41" s="27">
        <f ca="1">COUNTBLANK(INDIRECT("G41"))</f>
        <v>1</v>
      </c>
      <c r="AF41" s="27">
        <f ca="1">COUNTBLANK(INDIRECT("H41"))</f>
        <v>1</v>
      </c>
      <c r="AG41" s="27">
        <f ca="1">COUNTBLANK(INDIRECT("B41"))</f>
        <v>1</v>
      </c>
    </row>
    <row r="42" spans="1:33" x14ac:dyDescent="0.25">
      <c r="A42" s="2">
        <v>14</v>
      </c>
      <c r="B42" s="63"/>
      <c r="C42" s="56"/>
      <c r="D42" s="56"/>
      <c r="E42" s="56"/>
      <c r="F42" s="56"/>
      <c r="G42" s="56"/>
      <c r="H42" s="56"/>
      <c r="I42" s="117" t="str">
        <f ca="1">IF(AND(INDIRECT("H42")&gt;=INDIRECT("F42"),AA42=0,AB42=0,AC42=0,AF42=0),"Yes",IF(AND(INDIRECT("H42")&lt;INDIRECT("F42"),AA42=0,AB42=0,AC42=0,AF42=0),"No","N/A"))</f>
        <v>N/A</v>
      </c>
      <c r="J42" s="176" t="str">
        <f t="shared" ca="1" si="5"/>
        <v>No Error</v>
      </c>
      <c r="K42" s="176"/>
      <c r="L42" s="176"/>
      <c r="R42" s="5"/>
      <c r="AA42" s="27">
        <f ca="1">COUNTBLANK(INDIRECT("C42"))</f>
        <v>1</v>
      </c>
      <c r="AB42" s="27">
        <f ca="1">COUNTBLANK(INDIRECT("D42"))</f>
        <v>1</v>
      </c>
      <c r="AC42" s="27">
        <f ca="1">COUNTBLANK(INDIRECT("E42"))</f>
        <v>1</v>
      </c>
      <c r="AD42" s="27">
        <f ca="1">COUNTBLANK(INDIRECT("F42"))</f>
        <v>1</v>
      </c>
      <c r="AE42" s="27">
        <f ca="1">COUNTBLANK(INDIRECT("G42"))</f>
        <v>1</v>
      </c>
      <c r="AF42" s="27">
        <f ca="1">COUNTBLANK(INDIRECT("H42"))</f>
        <v>1</v>
      </c>
      <c r="AG42" s="27">
        <f ca="1">COUNTBLANK(INDIRECT("B42"))</f>
        <v>1</v>
      </c>
    </row>
    <row r="43" spans="1:33" x14ac:dyDescent="0.25">
      <c r="A43" s="2">
        <v>15</v>
      </c>
      <c r="B43" s="63"/>
      <c r="C43" s="56"/>
      <c r="D43" s="56"/>
      <c r="E43" s="56"/>
      <c r="F43" s="56"/>
      <c r="G43" s="56"/>
      <c r="H43" s="56"/>
      <c r="I43" s="117" t="str">
        <f ca="1">IF(AND(INDIRECT("H43")&gt;=INDIRECT("F43"),AA43=0,AB43=0,AC43=0,AF43=0),"Yes",IF(AND(INDIRECT("H43")&lt;INDIRECT("F43"),AA43=0,AB43=0,AC43=0,AF43=0),"No","N/A"))</f>
        <v>N/A</v>
      </c>
      <c r="J43" s="176" t="str">
        <f t="shared" ca="1" si="5"/>
        <v>No Error</v>
      </c>
      <c r="K43" s="176"/>
      <c r="L43" s="176"/>
      <c r="R43" s="5"/>
      <c r="AA43" s="27">
        <f ca="1">COUNTBLANK(INDIRECT("C43"))</f>
        <v>1</v>
      </c>
      <c r="AB43" s="27">
        <f ca="1">COUNTBLANK(INDIRECT("D43"))</f>
        <v>1</v>
      </c>
      <c r="AC43" s="27">
        <f ca="1">COUNTBLANK(INDIRECT("E43"))</f>
        <v>1</v>
      </c>
      <c r="AD43" s="27">
        <f ca="1">COUNTBLANK(INDIRECT("F43"))</f>
        <v>1</v>
      </c>
      <c r="AE43" s="27">
        <f ca="1">COUNTBLANK(INDIRECT("G43"))</f>
        <v>1</v>
      </c>
      <c r="AF43" s="27">
        <f ca="1">COUNTBLANK(INDIRECT("H43"))</f>
        <v>1</v>
      </c>
      <c r="AG43" s="27">
        <f ca="1">COUNTBLANK(INDIRECT("B43"))</f>
        <v>1</v>
      </c>
    </row>
    <row r="44" spans="1:33" x14ac:dyDescent="0.25">
      <c r="A44" s="2">
        <v>16</v>
      </c>
      <c r="B44" s="63"/>
      <c r="C44" s="56"/>
      <c r="D44" s="56"/>
      <c r="E44" s="56"/>
      <c r="F44" s="56"/>
      <c r="G44" s="56"/>
      <c r="H44" s="56"/>
      <c r="I44" s="117" t="str">
        <f ca="1">IF(AND(INDIRECT("H44")&gt;=INDIRECT("F44"),AA44=0,AB44=0,AC44=0,AF44=0),"Yes",IF(AND(INDIRECT("H44")&lt;INDIRECT("F44"),AA44=0,AB44=0,AC44=0,AF44=0),"No","N/A"))</f>
        <v>N/A</v>
      </c>
      <c r="J44" s="176" t="str">
        <f t="shared" ca="1" si="5"/>
        <v>No Error</v>
      </c>
      <c r="K44" s="176"/>
      <c r="L44" s="176"/>
      <c r="R44" s="5"/>
      <c r="AA44" s="27">
        <f ca="1">COUNTBLANK(INDIRECT("C44"))</f>
        <v>1</v>
      </c>
      <c r="AB44" s="27">
        <f ca="1">COUNTBLANK(INDIRECT("D44"))</f>
        <v>1</v>
      </c>
      <c r="AC44" s="27">
        <f ca="1">COUNTBLANK(INDIRECT("E44"))</f>
        <v>1</v>
      </c>
      <c r="AD44" s="27">
        <f ca="1">COUNTBLANK(INDIRECT("F44"))</f>
        <v>1</v>
      </c>
      <c r="AE44" s="27">
        <f ca="1">COUNTBLANK(INDIRECT("G44"))</f>
        <v>1</v>
      </c>
      <c r="AF44" s="27">
        <f ca="1">COUNTBLANK(INDIRECT("H44"))</f>
        <v>1</v>
      </c>
      <c r="AG44" s="27">
        <f ca="1">COUNTBLANK(INDIRECT("B44"))</f>
        <v>1</v>
      </c>
    </row>
    <row r="45" spans="1:33" x14ac:dyDescent="0.25">
      <c r="A45" s="2">
        <v>17</v>
      </c>
      <c r="B45" s="63"/>
      <c r="C45" s="56"/>
      <c r="D45" s="56"/>
      <c r="E45" s="56"/>
      <c r="F45" s="56"/>
      <c r="G45" s="56"/>
      <c r="H45" s="56"/>
      <c r="I45" s="117" t="str">
        <f ca="1">IF(AND(INDIRECT("H45")&gt;=INDIRECT("F45"),AA45=0,AB45=0,AC45=0,AF45=0),"Yes",IF(AND(INDIRECT("H45")&lt;INDIRECT("F45"),AA45=0,AB45=0,AC45=0,AF45=0),"No","N/A"))</f>
        <v>N/A</v>
      </c>
      <c r="J45" s="176" t="str">
        <f t="shared" ca="1" si="5"/>
        <v>No Error</v>
      </c>
      <c r="K45" s="176"/>
      <c r="L45" s="176"/>
      <c r="R45" s="5"/>
      <c r="AA45" s="27">
        <f ca="1">COUNTBLANK(INDIRECT("C45"))</f>
        <v>1</v>
      </c>
      <c r="AB45" s="27">
        <f ca="1">COUNTBLANK(INDIRECT("D45"))</f>
        <v>1</v>
      </c>
      <c r="AC45" s="27">
        <f ca="1">COUNTBLANK(INDIRECT("E45"))</f>
        <v>1</v>
      </c>
      <c r="AD45" s="27">
        <f ca="1">COUNTBLANK(INDIRECT("F45"))</f>
        <v>1</v>
      </c>
      <c r="AE45" s="27">
        <f ca="1">COUNTBLANK(INDIRECT("G45"))</f>
        <v>1</v>
      </c>
      <c r="AF45" s="27">
        <f ca="1">COUNTBLANK(INDIRECT("H45"))</f>
        <v>1</v>
      </c>
      <c r="AG45" s="27">
        <f ca="1">COUNTBLANK(INDIRECT("B45"))</f>
        <v>1</v>
      </c>
    </row>
    <row r="46" spans="1:33" x14ac:dyDescent="0.25">
      <c r="A46" s="2">
        <v>18</v>
      </c>
      <c r="B46" s="63"/>
      <c r="C46" s="56"/>
      <c r="D46" s="56"/>
      <c r="E46" s="56"/>
      <c r="F46" s="56"/>
      <c r="G46" s="56"/>
      <c r="H46" s="56"/>
      <c r="I46" s="117" t="str">
        <f ca="1">IF(AND(INDIRECT("H46")&gt;=INDIRECT("F46"),AA46=0,AB46=0,AC46=0,AF46=0),"Yes",IF(AND(INDIRECT("H46")&lt;INDIRECT("F46"),AA46=0,AB46=0,AC46=0,AF46=0),"No","N/A"))</f>
        <v>N/A</v>
      </c>
      <c r="J46" s="176" t="str">
        <f t="shared" ca="1" si="5"/>
        <v>No Error</v>
      </c>
      <c r="K46" s="176"/>
      <c r="L46" s="176"/>
      <c r="R46" s="5"/>
      <c r="AA46" s="27">
        <f ca="1">COUNTBLANK(INDIRECT("C46"))</f>
        <v>1</v>
      </c>
      <c r="AB46" s="27">
        <f ca="1">COUNTBLANK(INDIRECT("D46"))</f>
        <v>1</v>
      </c>
      <c r="AC46" s="27">
        <f ca="1">COUNTBLANK(INDIRECT("E46"))</f>
        <v>1</v>
      </c>
      <c r="AD46" s="27">
        <f ca="1">COUNTBLANK(INDIRECT("F46"))</f>
        <v>1</v>
      </c>
      <c r="AE46" s="27">
        <f ca="1">COUNTBLANK(INDIRECT("G46"))</f>
        <v>1</v>
      </c>
      <c r="AF46" s="27">
        <f ca="1">COUNTBLANK(INDIRECT("H46"))</f>
        <v>1</v>
      </c>
      <c r="AG46" s="27">
        <f ca="1">COUNTBLANK(INDIRECT("B46"))</f>
        <v>1</v>
      </c>
    </row>
    <row r="47" spans="1:33" x14ac:dyDescent="0.25">
      <c r="A47" s="2">
        <v>19</v>
      </c>
      <c r="B47" s="63"/>
      <c r="C47" s="56"/>
      <c r="D47" s="56"/>
      <c r="E47" s="56"/>
      <c r="F47" s="56"/>
      <c r="G47" s="56"/>
      <c r="H47" s="56"/>
      <c r="I47" s="117" t="str">
        <f ca="1">IF(AND(INDIRECT("H47")&gt;=INDIRECT("F47"),AA47=0,AB47=0,AC47=0,AF47=0),"Yes",IF(AND(INDIRECT("H47")&lt;INDIRECT("F47"),AA47=0,AB47=0,AC47=0,AF47=0),"No","N/A"))</f>
        <v>N/A</v>
      </c>
      <c r="J47" s="176" t="str">
        <f t="shared" ca="1" si="5"/>
        <v>No Error</v>
      </c>
      <c r="K47" s="176"/>
      <c r="L47" s="176"/>
      <c r="R47" s="5"/>
      <c r="AA47" s="27">
        <f ca="1">COUNTBLANK(INDIRECT("C47"))</f>
        <v>1</v>
      </c>
      <c r="AB47" s="27">
        <f ca="1">COUNTBLANK(INDIRECT("D47"))</f>
        <v>1</v>
      </c>
      <c r="AC47" s="27">
        <f ca="1">COUNTBLANK(INDIRECT("E47"))</f>
        <v>1</v>
      </c>
      <c r="AD47" s="27">
        <f ca="1">COUNTBLANK(INDIRECT("F47"))</f>
        <v>1</v>
      </c>
      <c r="AE47" s="27">
        <f ca="1">COUNTBLANK(INDIRECT("G47"))</f>
        <v>1</v>
      </c>
      <c r="AF47" s="27">
        <f ca="1">COUNTBLANK(INDIRECT("H47"))</f>
        <v>1</v>
      </c>
      <c r="AG47" s="27">
        <f ca="1">COUNTBLANK(INDIRECT("B47"))</f>
        <v>1</v>
      </c>
    </row>
    <row r="48" spans="1:33" x14ac:dyDescent="0.25">
      <c r="A48" s="2">
        <v>20</v>
      </c>
      <c r="B48" s="63"/>
      <c r="C48" s="56"/>
      <c r="D48" s="56"/>
      <c r="E48" s="56"/>
      <c r="F48" s="56"/>
      <c r="G48" s="56"/>
      <c r="H48" s="56"/>
      <c r="I48" s="117" t="str">
        <f ca="1">IF(AND(INDIRECT("H48")&gt;=INDIRECT("F48"),AA48=0,AB48=0,AC48=0,AF48=0),"Yes",IF(AND(INDIRECT("H48")&lt;INDIRECT("F48"),AA48=0,AB48=0,AC48=0,AF48=0),"No","N/A"))</f>
        <v>N/A</v>
      </c>
      <c r="J48" s="176" t="str">
        <f t="shared" ca="1" si="5"/>
        <v>No Error</v>
      </c>
      <c r="K48" s="176"/>
      <c r="L48" s="176"/>
      <c r="R48" s="5"/>
      <c r="AA48" s="27">
        <f ca="1">COUNTBLANK(INDIRECT("C48"))</f>
        <v>1</v>
      </c>
      <c r="AB48" s="27">
        <f ca="1">COUNTBLANK(INDIRECT("D48"))</f>
        <v>1</v>
      </c>
      <c r="AC48" s="27">
        <f ca="1">COUNTBLANK(INDIRECT("E48"))</f>
        <v>1</v>
      </c>
      <c r="AD48" s="27">
        <f ca="1">COUNTBLANK(INDIRECT("F48"))</f>
        <v>1</v>
      </c>
      <c r="AE48" s="27">
        <f ca="1">COUNTBLANK(INDIRECT("G48"))</f>
        <v>1</v>
      </c>
      <c r="AF48" s="27">
        <f ca="1">COUNTBLANK(INDIRECT("H48"))</f>
        <v>1</v>
      </c>
      <c r="AG48" s="27">
        <f ca="1">COUNTBLANK(INDIRECT("B48"))</f>
        <v>1</v>
      </c>
    </row>
    <row r="49" spans="1:33" x14ac:dyDescent="0.25">
      <c r="A49" s="2">
        <v>21</v>
      </c>
      <c r="B49" s="63"/>
      <c r="C49" s="56"/>
      <c r="D49" s="56"/>
      <c r="E49" s="56"/>
      <c r="F49" s="56"/>
      <c r="G49" s="56"/>
      <c r="H49" s="56"/>
      <c r="I49" s="117" t="str">
        <f ca="1">IF(AND(INDIRECT("H49")&gt;=INDIRECT("F49"),AA49=0,AB49=0,AC49=0,AF49=0),"Yes",IF(AND(INDIRECT("H49")&lt;INDIRECT("F49"),AA49=0,AB49=0,AC49=0,AF49=0),"No","N/A"))</f>
        <v>N/A</v>
      </c>
      <c r="J49" s="176" t="str">
        <f t="shared" ca="1" si="5"/>
        <v>No Error</v>
      </c>
      <c r="K49" s="176"/>
      <c r="L49" s="176"/>
      <c r="R49" s="5"/>
      <c r="AA49" s="27">
        <f ca="1">COUNTBLANK(INDIRECT("C49"))</f>
        <v>1</v>
      </c>
      <c r="AB49" s="27">
        <f ca="1">COUNTBLANK(INDIRECT("D49"))</f>
        <v>1</v>
      </c>
      <c r="AC49" s="27">
        <f ca="1">COUNTBLANK(INDIRECT("E49"))</f>
        <v>1</v>
      </c>
      <c r="AD49" s="27">
        <f ca="1">COUNTBLANK(INDIRECT("F49"))</f>
        <v>1</v>
      </c>
      <c r="AE49" s="27">
        <f ca="1">COUNTBLANK(INDIRECT("G49"))</f>
        <v>1</v>
      </c>
      <c r="AF49" s="27">
        <f ca="1">COUNTBLANK(INDIRECT("H49"))</f>
        <v>1</v>
      </c>
      <c r="AG49" s="27">
        <f ca="1">COUNTBLANK(INDIRECT("B49"))</f>
        <v>1</v>
      </c>
    </row>
    <row r="50" spans="1:33" x14ac:dyDescent="0.25">
      <c r="A50" s="2">
        <v>22</v>
      </c>
      <c r="B50" s="63"/>
      <c r="C50" s="56"/>
      <c r="D50" s="56"/>
      <c r="E50" s="56"/>
      <c r="F50" s="56"/>
      <c r="G50" s="56"/>
      <c r="H50" s="56"/>
      <c r="I50" s="117" t="str">
        <f ca="1">IF(AND(INDIRECT("H50")&gt;=INDIRECT("F50"),AA50=0,AB50=0,AC50=0,AF50=0),"Yes",IF(AND(INDIRECT("H50")&lt;INDIRECT("F50"),AA50=0,AB50=0,AC50=0,AF50=0),"No","N/A"))</f>
        <v>N/A</v>
      </c>
      <c r="J50" s="176" t="str">
        <f t="shared" ca="1" si="5"/>
        <v>No Error</v>
      </c>
      <c r="K50" s="176"/>
      <c r="L50" s="176"/>
      <c r="R50" s="5"/>
      <c r="AA50" s="27">
        <f ca="1">COUNTBLANK(INDIRECT("C50"))</f>
        <v>1</v>
      </c>
      <c r="AB50" s="27">
        <f ca="1">COUNTBLANK(INDIRECT("D50"))</f>
        <v>1</v>
      </c>
      <c r="AC50" s="27">
        <f ca="1">COUNTBLANK(INDIRECT("E50"))</f>
        <v>1</v>
      </c>
      <c r="AD50" s="27">
        <f ca="1">COUNTBLANK(INDIRECT("F50"))</f>
        <v>1</v>
      </c>
      <c r="AE50" s="27">
        <f ca="1">COUNTBLANK(INDIRECT("G50"))</f>
        <v>1</v>
      </c>
      <c r="AF50" s="27">
        <f ca="1">COUNTBLANK(INDIRECT("H50"))</f>
        <v>1</v>
      </c>
      <c r="AG50" s="27">
        <f ca="1">COUNTBLANK(INDIRECT("B50"))</f>
        <v>1</v>
      </c>
    </row>
    <row r="51" spans="1:33" x14ac:dyDescent="0.25">
      <c r="A51" s="2">
        <v>23</v>
      </c>
      <c r="B51" s="63"/>
      <c r="C51" s="56"/>
      <c r="D51" s="56"/>
      <c r="E51" s="56"/>
      <c r="F51" s="56"/>
      <c r="G51" s="56"/>
      <c r="H51" s="56"/>
      <c r="I51" s="117" t="str">
        <f ca="1">IF(AND(INDIRECT("H51")&gt;=INDIRECT("F51"),AA51=0,AB51=0,AC51=0,AF51=0),"Yes",IF(AND(INDIRECT("H51")&lt;INDIRECT("F51"),AA51=0,AB51=0,AC51=0,AF51=0),"No","N/A"))</f>
        <v>N/A</v>
      </c>
      <c r="J51" s="176" t="str">
        <f t="shared" ca="1" si="5"/>
        <v>No Error</v>
      </c>
      <c r="K51" s="176"/>
      <c r="L51" s="176"/>
      <c r="R51" s="5"/>
      <c r="AA51" s="27">
        <f ca="1">COUNTBLANK(INDIRECT("C51"))</f>
        <v>1</v>
      </c>
      <c r="AB51" s="27">
        <f ca="1">COUNTBLANK(INDIRECT("D51"))</f>
        <v>1</v>
      </c>
      <c r="AC51" s="27">
        <f ca="1">COUNTBLANK(INDIRECT("E51"))</f>
        <v>1</v>
      </c>
      <c r="AD51" s="27">
        <f ca="1">COUNTBLANK(INDIRECT("F51"))</f>
        <v>1</v>
      </c>
      <c r="AE51" s="27">
        <f ca="1">COUNTBLANK(INDIRECT("G51"))</f>
        <v>1</v>
      </c>
      <c r="AF51" s="27">
        <f ca="1">COUNTBLANK(INDIRECT("H51"))</f>
        <v>1</v>
      </c>
      <c r="AG51" s="27">
        <f ca="1">COUNTBLANK(INDIRECT("B51"))</f>
        <v>1</v>
      </c>
    </row>
    <row r="52" spans="1:33" x14ac:dyDescent="0.25">
      <c r="A52" s="2">
        <v>24</v>
      </c>
      <c r="B52" s="63"/>
      <c r="C52" s="56"/>
      <c r="D52" s="56"/>
      <c r="E52" s="56"/>
      <c r="F52" s="56"/>
      <c r="G52" s="56"/>
      <c r="H52" s="56"/>
      <c r="I52" s="117" t="str">
        <f ca="1">IF(AND(INDIRECT("H52")&gt;=INDIRECT("F52"),AA52=0,AB52=0,AC52=0,AF52=0),"Yes",IF(AND(INDIRECT("H52")&lt;INDIRECT("F52"),AA52=0,AB52=0,AC52=0,AF52=0),"No","N/A"))</f>
        <v>N/A</v>
      </c>
      <c r="J52" s="176" t="str">
        <f t="shared" ca="1" si="5"/>
        <v>No Error</v>
      </c>
      <c r="K52" s="176"/>
      <c r="L52" s="176"/>
      <c r="R52" s="5"/>
      <c r="AA52" s="27">
        <f ca="1">COUNTBLANK(INDIRECT("C52"))</f>
        <v>1</v>
      </c>
      <c r="AB52" s="27">
        <f ca="1">COUNTBLANK(INDIRECT("D52"))</f>
        <v>1</v>
      </c>
      <c r="AC52" s="27">
        <f ca="1">COUNTBLANK(INDIRECT("E52"))</f>
        <v>1</v>
      </c>
      <c r="AD52" s="27">
        <f ca="1">COUNTBLANK(INDIRECT("F52"))</f>
        <v>1</v>
      </c>
      <c r="AE52" s="27">
        <f ca="1">COUNTBLANK(INDIRECT("G52"))</f>
        <v>1</v>
      </c>
      <c r="AF52" s="27">
        <f ca="1">COUNTBLANK(INDIRECT("H52"))</f>
        <v>1</v>
      </c>
      <c r="AG52" s="27">
        <f ca="1">COUNTBLANK(INDIRECT("B52"))</f>
        <v>1</v>
      </c>
    </row>
    <row r="53" spans="1:33" x14ac:dyDescent="0.25">
      <c r="A53" s="2">
        <v>25</v>
      </c>
      <c r="B53" s="63"/>
      <c r="C53" s="56"/>
      <c r="D53" s="56"/>
      <c r="E53" s="56"/>
      <c r="F53" s="56"/>
      <c r="G53" s="56"/>
      <c r="H53" s="56"/>
      <c r="I53" s="117" t="str">
        <f ca="1">IF(AND(INDIRECT("H53")&gt;=INDIRECT("F53"),AA53=0,AB53=0,AC53=0,AF53=0),"Yes",IF(AND(INDIRECT("H53")&lt;INDIRECT("F53"),AA53=0,AB53=0,AC53=0,AF53=0),"No","N/A"))</f>
        <v>N/A</v>
      </c>
      <c r="J53" s="176" t="str">
        <f t="shared" ca="1" si="5"/>
        <v>No Error</v>
      </c>
      <c r="K53" s="176"/>
      <c r="L53" s="176"/>
      <c r="R53" s="5"/>
      <c r="AA53" s="61">
        <f ca="1">COUNTBLANK(INDIRECT("C53"))</f>
        <v>1</v>
      </c>
      <c r="AB53" s="61">
        <f ca="1">COUNTBLANK(INDIRECT("D53"))</f>
        <v>1</v>
      </c>
      <c r="AC53" s="61">
        <f ca="1">COUNTBLANK(INDIRECT("E53"))</f>
        <v>1</v>
      </c>
      <c r="AD53" s="61">
        <f ca="1">COUNTBLANK(INDIRECT("F53"))</f>
        <v>1</v>
      </c>
      <c r="AE53" s="61">
        <f ca="1">COUNTBLANK(INDIRECT("G53"))</f>
        <v>1</v>
      </c>
      <c r="AF53" s="61">
        <f ca="1">COUNTBLANK(INDIRECT("H53"))</f>
        <v>1</v>
      </c>
      <c r="AG53" s="61">
        <f ca="1">COUNTBLANK(INDIRECT("B53"))</f>
        <v>1</v>
      </c>
    </row>
    <row r="54" spans="1:33" x14ac:dyDescent="0.25">
      <c r="A54" s="2">
        <v>26</v>
      </c>
      <c r="B54" s="63"/>
      <c r="C54" s="56"/>
      <c r="D54" s="56"/>
      <c r="E54" s="56"/>
      <c r="F54" s="56"/>
      <c r="G54" s="56"/>
      <c r="H54" s="56"/>
      <c r="I54" s="117" t="str">
        <f ca="1">IF(AND(INDIRECT("H54")&gt;=INDIRECT("F54"),AA54=0,AB54=0,AC54=0,AF54=0),"Yes",IF(AND(INDIRECT("H54")&lt;INDIRECT("F54"),AA54=0,AB54=0,AC54=0,AF54=0),"No","N/A"))</f>
        <v>N/A</v>
      </c>
      <c r="J54" s="176" t="str">
        <f t="shared" ca="1" si="5"/>
        <v>No Error</v>
      </c>
      <c r="K54" s="176"/>
      <c r="L54" s="176"/>
      <c r="R54" s="5"/>
      <c r="AA54" s="27">
        <f ca="1">COUNTBLANK(INDIRECT("C54"))</f>
        <v>1</v>
      </c>
      <c r="AB54" s="27">
        <f ca="1">COUNTBLANK(INDIRECT("D54"))</f>
        <v>1</v>
      </c>
      <c r="AC54" s="27">
        <f ca="1">COUNTBLANK(INDIRECT("E54"))</f>
        <v>1</v>
      </c>
      <c r="AD54" s="27">
        <f ca="1">COUNTBLANK(INDIRECT("F54"))</f>
        <v>1</v>
      </c>
      <c r="AE54" s="27">
        <f ca="1">COUNTBLANK(INDIRECT("G54"))</f>
        <v>1</v>
      </c>
      <c r="AF54" s="27">
        <f ca="1">COUNTBLANK(INDIRECT("H54"))</f>
        <v>1</v>
      </c>
      <c r="AG54" s="27">
        <f ca="1">COUNTBLANK(INDIRECT("B54"))</f>
        <v>1</v>
      </c>
    </row>
    <row r="55" spans="1:33" x14ac:dyDescent="0.25">
      <c r="A55" s="2">
        <v>27</v>
      </c>
      <c r="B55" s="63"/>
      <c r="C55" s="56"/>
      <c r="D55" s="56"/>
      <c r="E55" s="56"/>
      <c r="F55" s="56"/>
      <c r="G55" s="56"/>
      <c r="H55" s="56"/>
      <c r="I55" s="117" t="str">
        <f ca="1">IF(AND(INDIRECT("H55")&gt;=INDIRECT("F55"),AA55=0,AB55=0,AC55=0,AF55=0),"Yes",IF(AND(INDIRECT("H55")&lt;INDIRECT("F55"),AA55=0,AB55=0,AC55=0,AF55=0),"No","N/A"))</f>
        <v>N/A</v>
      </c>
      <c r="J55" s="176" t="str">
        <f t="shared" ca="1" si="5"/>
        <v>No Error</v>
      </c>
      <c r="K55" s="176"/>
      <c r="L55" s="176"/>
      <c r="R55" s="5"/>
      <c r="AA55" s="27">
        <f ca="1">COUNTBLANK(INDIRECT("C55"))</f>
        <v>1</v>
      </c>
      <c r="AB55" s="27">
        <f ca="1">COUNTBLANK(INDIRECT("D55"))</f>
        <v>1</v>
      </c>
      <c r="AC55" s="27">
        <f ca="1">COUNTBLANK(INDIRECT("E55"))</f>
        <v>1</v>
      </c>
      <c r="AD55" s="27">
        <f ca="1">COUNTBLANK(INDIRECT("F55"))</f>
        <v>1</v>
      </c>
      <c r="AE55" s="27">
        <f ca="1">COUNTBLANK(INDIRECT("G55"))</f>
        <v>1</v>
      </c>
      <c r="AF55" s="27">
        <f ca="1">COUNTBLANK(INDIRECT("H55"))</f>
        <v>1</v>
      </c>
      <c r="AG55" s="27">
        <f ca="1">COUNTBLANK(INDIRECT("B55"))</f>
        <v>1</v>
      </c>
    </row>
    <row r="56" spans="1:33" x14ac:dyDescent="0.25">
      <c r="A56" s="2">
        <v>28</v>
      </c>
      <c r="B56" s="63"/>
      <c r="C56" s="56"/>
      <c r="D56" s="56"/>
      <c r="E56" s="56"/>
      <c r="F56" s="56"/>
      <c r="G56" s="56"/>
      <c r="H56" s="56"/>
      <c r="I56" s="117" t="str">
        <f ca="1">IF(AND(INDIRECT("H56")&gt;=INDIRECT("F56"),AA56=0,AB56=0,AC56=0,AF56=0),"Yes",IF(AND(INDIRECT("H56")&lt;INDIRECT("F56"),AA56=0,AB56=0,AC56=0,AF56=0),"No","N/A"))</f>
        <v>N/A</v>
      </c>
      <c r="J56" s="176" t="str">
        <f t="shared" ca="1" si="5"/>
        <v>No Error</v>
      </c>
      <c r="K56" s="176"/>
      <c r="L56" s="176"/>
      <c r="R56" s="5"/>
      <c r="AA56" s="27">
        <f ca="1">COUNTBLANK(INDIRECT("C56"))</f>
        <v>1</v>
      </c>
      <c r="AB56" s="27">
        <f ca="1">COUNTBLANK(INDIRECT("D56"))</f>
        <v>1</v>
      </c>
      <c r="AC56" s="27">
        <f ca="1">COUNTBLANK(INDIRECT("E56"))</f>
        <v>1</v>
      </c>
      <c r="AD56" s="27">
        <f ca="1">COUNTBLANK(INDIRECT("F56"))</f>
        <v>1</v>
      </c>
      <c r="AE56" s="27">
        <f ca="1">COUNTBLANK(INDIRECT("G56"))</f>
        <v>1</v>
      </c>
      <c r="AF56" s="27">
        <f ca="1">COUNTBLANK(INDIRECT("H56"))</f>
        <v>1</v>
      </c>
      <c r="AG56" s="27">
        <f ca="1">COUNTBLANK(INDIRECT("B56"))</f>
        <v>1</v>
      </c>
    </row>
    <row r="57" spans="1:33" x14ac:dyDescent="0.25">
      <c r="A57" s="2">
        <v>29</v>
      </c>
      <c r="B57" s="63"/>
      <c r="C57" s="56"/>
      <c r="D57" s="56"/>
      <c r="E57" s="56"/>
      <c r="F57" s="56"/>
      <c r="G57" s="56"/>
      <c r="H57" s="56"/>
      <c r="I57" s="117" t="str">
        <f ca="1">IF(AND(INDIRECT("H57")&gt;=INDIRECT("F57"),AA57=0,AB57=0,AC57=0,AF57=0),"Yes",IF(AND(INDIRECT("H57")&lt;INDIRECT("F57"),AA57=0,AB57=0,AC57=0,AF57=0),"No","N/A"))</f>
        <v>N/A</v>
      </c>
      <c r="J57" s="176" t="str">
        <f t="shared" ca="1" si="5"/>
        <v>No Error</v>
      </c>
      <c r="K57" s="176"/>
      <c r="L57" s="176"/>
      <c r="R57" s="5"/>
      <c r="AA57" s="27">
        <f ca="1">COUNTBLANK(INDIRECT("C57"))</f>
        <v>1</v>
      </c>
      <c r="AB57" s="27">
        <f ca="1">COUNTBLANK(INDIRECT("D57"))</f>
        <v>1</v>
      </c>
      <c r="AC57" s="27">
        <f ca="1">COUNTBLANK(INDIRECT("E57"))</f>
        <v>1</v>
      </c>
      <c r="AD57" s="27">
        <f ca="1">COUNTBLANK(INDIRECT("F57"))</f>
        <v>1</v>
      </c>
      <c r="AE57" s="27">
        <f ca="1">COUNTBLANK(INDIRECT("G57"))</f>
        <v>1</v>
      </c>
      <c r="AF57" s="27">
        <f ca="1">COUNTBLANK(INDIRECT("H57"))</f>
        <v>1</v>
      </c>
      <c r="AG57" s="27">
        <f ca="1">COUNTBLANK(INDIRECT("B57"))</f>
        <v>1</v>
      </c>
    </row>
    <row r="58" spans="1:33" x14ac:dyDescent="0.25">
      <c r="A58" s="2">
        <v>30</v>
      </c>
      <c r="B58" s="63"/>
      <c r="C58" s="56"/>
      <c r="D58" s="56"/>
      <c r="E58" s="56"/>
      <c r="F58" s="56"/>
      <c r="G58" s="56"/>
      <c r="H58" s="56"/>
      <c r="I58" s="117" t="str">
        <f ca="1">IF(AND(INDIRECT("H58")&gt;=INDIRECT("F58"),AA58=0,AB58=0,AC58=0,AF58=0),"Yes",IF(AND(INDIRECT("H58")&lt;INDIRECT("F58"),AA58=0,AB58=0,AC58=0,AF58=0),"No","N/A"))</f>
        <v>N/A</v>
      </c>
      <c r="J58" s="176" t="str">
        <f t="shared" ca="1" si="5"/>
        <v>No Error</v>
      </c>
      <c r="K58" s="176"/>
      <c r="L58" s="176"/>
      <c r="R58" s="5"/>
      <c r="AA58" s="27">
        <f ca="1">COUNTBLANK(INDIRECT("C58"))</f>
        <v>1</v>
      </c>
      <c r="AB58" s="27">
        <f ca="1">COUNTBLANK(INDIRECT("D58"))</f>
        <v>1</v>
      </c>
      <c r="AC58" s="27">
        <f ca="1">COUNTBLANK(INDIRECT("E58"))</f>
        <v>1</v>
      </c>
      <c r="AD58" s="27">
        <f ca="1">COUNTBLANK(INDIRECT("F58"))</f>
        <v>1</v>
      </c>
      <c r="AE58" s="27">
        <f ca="1">COUNTBLANK(INDIRECT("G58"))</f>
        <v>1</v>
      </c>
      <c r="AF58" s="27">
        <f ca="1">COUNTBLANK(INDIRECT("H58"))</f>
        <v>1</v>
      </c>
      <c r="AG58" s="27">
        <f ca="1">COUNTBLANK(INDIRECT("B58"))</f>
        <v>1</v>
      </c>
    </row>
    <row r="59" spans="1:33" x14ac:dyDescent="0.25">
      <c r="A59" s="2">
        <v>31</v>
      </c>
      <c r="B59" s="63"/>
      <c r="C59" s="56"/>
      <c r="D59" s="56"/>
      <c r="E59" s="56"/>
      <c r="F59" s="56"/>
      <c r="G59" s="56"/>
      <c r="H59" s="56"/>
      <c r="I59" s="117" t="str">
        <f ca="1">IF(AND(INDIRECT("H59")&gt;=INDIRECT("F59"),AA59=0,AB59=0,AC59=0,AF59=0),"Yes",IF(AND(INDIRECT("H59")&lt;INDIRECT("F59"),AA59=0,AB59=0,AC59=0,AF59=0),"No","N/A"))</f>
        <v>N/A</v>
      </c>
      <c r="J59" s="176" t="str">
        <f t="shared" ca="1" si="5"/>
        <v>No Error</v>
      </c>
      <c r="K59" s="176"/>
      <c r="L59" s="176"/>
      <c r="R59" s="5"/>
      <c r="AA59" s="27">
        <f ca="1">COUNTBLANK(INDIRECT("C59"))</f>
        <v>1</v>
      </c>
      <c r="AB59" s="27">
        <f ca="1">COUNTBLANK(INDIRECT("D59"))</f>
        <v>1</v>
      </c>
      <c r="AC59" s="27">
        <f ca="1">COUNTBLANK(INDIRECT("E59"))</f>
        <v>1</v>
      </c>
      <c r="AD59" s="27">
        <f ca="1">COUNTBLANK(INDIRECT("F59"))</f>
        <v>1</v>
      </c>
      <c r="AE59" s="27">
        <f ca="1">COUNTBLANK(INDIRECT("G59"))</f>
        <v>1</v>
      </c>
      <c r="AF59" s="27">
        <f ca="1">COUNTBLANK(INDIRECT("H59"))</f>
        <v>1</v>
      </c>
      <c r="AG59" s="27">
        <f ca="1">COUNTBLANK(INDIRECT("B59"))</f>
        <v>1</v>
      </c>
    </row>
    <row r="60" spans="1:33" x14ac:dyDescent="0.25">
      <c r="A60" s="2">
        <v>32</v>
      </c>
      <c r="B60" s="63"/>
      <c r="C60" s="56"/>
      <c r="D60" s="56"/>
      <c r="E60" s="56"/>
      <c r="F60" s="56"/>
      <c r="G60" s="56"/>
      <c r="H60" s="56"/>
      <c r="I60" s="117" t="str">
        <f ca="1">IF(AND(INDIRECT("H60")&gt;=INDIRECT("F60"),AA60=0,AB60=0,AC60=0,AF60=0),"Yes",IF(AND(INDIRECT("H60")&lt;INDIRECT("F60"),AA60=0,AB60=0,AC60=0,AF60=0),"No","N/A"))</f>
        <v>N/A</v>
      </c>
      <c r="J60" s="176" t="str">
        <f t="shared" ca="1" si="5"/>
        <v>No Error</v>
      </c>
      <c r="K60" s="176"/>
      <c r="L60" s="176"/>
      <c r="R60" s="5"/>
      <c r="AA60" s="27">
        <f ca="1">COUNTBLANK(INDIRECT("C60"))</f>
        <v>1</v>
      </c>
      <c r="AB60" s="27">
        <f ca="1">COUNTBLANK(INDIRECT("D60"))</f>
        <v>1</v>
      </c>
      <c r="AC60" s="27">
        <f ca="1">COUNTBLANK(INDIRECT("E60"))</f>
        <v>1</v>
      </c>
      <c r="AD60" s="27">
        <f ca="1">COUNTBLANK(INDIRECT("F60"))</f>
        <v>1</v>
      </c>
      <c r="AE60" s="27">
        <f ca="1">COUNTBLANK(INDIRECT("G60"))</f>
        <v>1</v>
      </c>
      <c r="AF60" s="27">
        <f ca="1">COUNTBLANK(INDIRECT("H60"))</f>
        <v>1</v>
      </c>
      <c r="AG60" s="27">
        <f ca="1">COUNTBLANK(INDIRECT("B60"))</f>
        <v>1</v>
      </c>
    </row>
    <row r="61" spans="1:33" x14ac:dyDescent="0.25">
      <c r="A61" s="2">
        <v>33</v>
      </c>
      <c r="B61" s="63"/>
      <c r="C61" s="56"/>
      <c r="D61" s="56"/>
      <c r="E61" s="56"/>
      <c r="F61" s="56"/>
      <c r="G61" s="56"/>
      <c r="H61" s="56"/>
      <c r="I61" s="117" t="str">
        <f ca="1">IF(AND(INDIRECT("H61")&gt;=INDIRECT("F61"),AA61=0,AB61=0,AC61=0,AF61=0),"Yes",IF(AND(INDIRECT("H61")&lt;INDIRECT("F61"),AA61=0,AB61=0,AC61=0,AF61=0),"No","N/A"))</f>
        <v>N/A</v>
      </c>
      <c r="J61" s="176" t="str">
        <f t="shared" ca="1" si="5"/>
        <v>No Error</v>
      </c>
      <c r="K61" s="176"/>
      <c r="L61" s="176"/>
      <c r="R61" s="5"/>
      <c r="AA61" s="27">
        <f ca="1">COUNTBLANK(INDIRECT("C61"))</f>
        <v>1</v>
      </c>
      <c r="AB61" s="27">
        <f ca="1">COUNTBLANK(INDIRECT("D61"))</f>
        <v>1</v>
      </c>
      <c r="AC61" s="27">
        <f ca="1">COUNTBLANK(INDIRECT("E61"))</f>
        <v>1</v>
      </c>
      <c r="AD61" s="27">
        <f ca="1">COUNTBLANK(INDIRECT("F61"))</f>
        <v>1</v>
      </c>
      <c r="AE61" s="27">
        <f ca="1">COUNTBLANK(INDIRECT("G61"))</f>
        <v>1</v>
      </c>
      <c r="AF61" s="27">
        <f ca="1">COUNTBLANK(INDIRECT("H61"))</f>
        <v>1</v>
      </c>
      <c r="AG61" s="27">
        <f ca="1">COUNTBLANK(INDIRECT("B61"))</f>
        <v>1</v>
      </c>
    </row>
    <row r="62" spans="1:33" x14ac:dyDescent="0.25">
      <c r="A62" s="2">
        <v>34</v>
      </c>
      <c r="B62" s="63"/>
      <c r="C62" s="56"/>
      <c r="D62" s="56"/>
      <c r="E62" s="56"/>
      <c r="F62" s="56"/>
      <c r="G62" s="56"/>
      <c r="H62" s="56"/>
      <c r="I62" s="117" t="str">
        <f ca="1">IF(AND(INDIRECT("H62")&gt;=INDIRECT("F62"),AA62=0,AB62=0,AC62=0,AF62=0),"Yes",IF(AND(INDIRECT("H62")&lt;INDIRECT("F62"),AA62=0,AB62=0,AC62=0,AF62=0),"No","N/A"))</f>
        <v>N/A</v>
      </c>
      <c r="J62" s="176" t="str">
        <f t="shared" ca="1" si="5"/>
        <v>No Error</v>
      </c>
      <c r="K62" s="176"/>
      <c r="L62" s="176"/>
      <c r="R62" s="5"/>
      <c r="AA62" s="27">
        <f ca="1">COUNTBLANK(INDIRECT("C62"))</f>
        <v>1</v>
      </c>
      <c r="AB62" s="27">
        <f ca="1">COUNTBLANK(INDIRECT("D62"))</f>
        <v>1</v>
      </c>
      <c r="AC62" s="27">
        <f ca="1">COUNTBLANK(INDIRECT("E62"))</f>
        <v>1</v>
      </c>
      <c r="AD62" s="27">
        <f ca="1">COUNTBLANK(INDIRECT("F62"))</f>
        <v>1</v>
      </c>
      <c r="AE62" s="27">
        <f ca="1">COUNTBLANK(INDIRECT("G62"))</f>
        <v>1</v>
      </c>
      <c r="AF62" s="27">
        <f ca="1">COUNTBLANK(INDIRECT("H62"))</f>
        <v>1</v>
      </c>
      <c r="AG62" s="27">
        <f ca="1">COUNTBLANK(INDIRECT("B62"))</f>
        <v>1</v>
      </c>
    </row>
    <row r="63" spans="1:33" x14ac:dyDescent="0.25">
      <c r="A63" s="2">
        <v>35</v>
      </c>
      <c r="B63" s="63"/>
      <c r="C63" s="56"/>
      <c r="D63" s="56"/>
      <c r="E63" s="56"/>
      <c r="F63" s="56"/>
      <c r="G63" s="56"/>
      <c r="H63" s="56"/>
      <c r="I63" s="117" t="str">
        <f ca="1">IF(AND(INDIRECT("H63")&gt;=INDIRECT("F63"),AA63=0,AB63=0,AC63=0,AF63=0),"Yes",IF(AND(INDIRECT("H63")&lt;INDIRECT("F63"),AA63=0,AB63=0,AC63=0,AF63=0),"No","N/A"))</f>
        <v>N/A</v>
      </c>
      <c r="J63" s="176" t="str">
        <f t="shared" ca="1" si="5"/>
        <v>No Error</v>
      </c>
      <c r="K63" s="176"/>
      <c r="L63" s="176"/>
      <c r="R63" s="5"/>
      <c r="AA63" s="27">
        <f ca="1">COUNTBLANK(INDIRECT("C63"))</f>
        <v>1</v>
      </c>
      <c r="AB63" s="27">
        <f ca="1">COUNTBLANK(INDIRECT("D63"))</f>
        <v>1</v>
      </c>
      <c r="AC63" s="27">
        <f ca="1">COUNTBLANK(INDIRECT("E63"))</f>
        <v>1</v>
      </c>
      <c r="AD63" s="27">
        <f ca="1">COUNTBLANK(INDIRECT("F63"))</f>
        <v>1</v>
      </c>
      <c r="AE63" s="27">
        <f ca="1">COUNTBLANK(INDIRECT("G63"))</f>
        <v>1</v>
      </c>
      <c r="AF63" s="27">
        <f ca="1">COUNTBLANK(INDIRECT("H63"))</f>
        <v>1</v>
      </c>
      <c r="AG63" s="27">
        <f ca="1">COUNTBLANK(INDIRECT("B63"))</f>
        <v>1</v>
      </c>
    </row>
    <row r="64" spans="1:33" x14ac:dyDescent="0.25">
      <c r="A64" s="2">
        <v>36</v>
      </c>
      <c r="B64" s="63"/>
      <c r="C64" s="56"/>
      <c r="D64" s="56"/>
      <c r="E64" s="56"/>
      <c r="F64" s="56"/>
      <c r="G64" s="56"/>
      <c r="H64" s="56"/>
      <c r="I64" s="117" t="str">
        <f ca="1">IF(AND(INDIRECT("H64")&gt;=INDIRECT("F64"),AA64=0,AB64=0,AC64=0,AF64=0),"Yes",IF(AND(INDIRECT("H64")&lt;INDIRECT("F64"),AA64=0,AB64=0,AC64=0,AF64=0),"No","N/A"))</f>
        <v>N/A</v>
      </c>
      <c r="J64" s="176" t="str">
        <f t="shared" ca="1" si="5"/>
        <v>No Error</v>
      </c>
      <c r="K64" s="176"/>
      <c r="L64" s="176"/>
      <c r="R64" s="5"/>
      <c r="AA64" s="27">
        <f ca="1">COUNTBLANK(INDIRECT("C64"))</f>
        <v>1</v>
      </c>
      <c r="AB64" s="27">
        <f ca="1">COUNTBLANK(INDIRECT("D64"))</f>
        <v>1</v>
      </c>
      <c r="AC64" s="27">
        <f ca="1">COUNTBLANK(INDIRECT("E64"))</f>
        <v>1</v>
      </c>
      <c r="AD64" s="27">
        <f ca="1">COUNTBLANK(INDIRECT("F64"))</f>
        <v>1</v>
      </c>
      <c r="AE64" s="27">
        <f ca="1">COUNTBLANK(INDIRECT("G64"))</f>
        <v>1</v>
      </c>
      <c r="AF64" s="27">
        <f ca="1">COUNTBLANK(INDIRECT("H64"))</f>
        <v>1</v>
      </c>
      <c r="AG64" s="27">
        <f ca="1">COUNTBLANK(INDIRECT("B64"))</f>
        <v>1</v>
      </c>
    </row>
    <row r="65" spans="1:33" x14ac:dyDescent="0.25">
      <c r="A65" s="2">
        <v>37</v>
      </c>
      <c r="B65" s="63"/>
      <c r="C65" s="56"/>
      <c r="D65" s="56"/>
      <c r="E65" s="56"/>
      <c r="F65" s="56"/>
      <c r="G65" s="56"/>
      <c r="H65" s="56"/>
      <c r="I65" s="117" t="str">
        <f ca="1">IF(AND(INDIRECT("H65")&gt;=INDIRECT("F65"),AA65=0,AB65=0,AC65=0,AF65=0),"Yes",IF(AND(INDIRECT("H65")&lt;INDIRECT("F65"),AA65=0,AB65=0,AC65=0,AF65=0),"No","N/A"))</f>
        <v>N/A</v>
      </c>
      <c r="J65" s="176" t="str">
        <f t="shared" ca="1" si="5"/>
        <v>No Error</v>
      </c>
      <c r="K65" s="176"/>
      <c r="L65" s="176"/>
      <c r="R65" s="5"/>
      <c r="AA65" s="27">
        <f ca="1">COUNTBLANK(INDIRECT("C65"))</f>
        <v>1</v>
      </c>
      <c r="AB65" s="27">
        <f ca="1">COUNTBLANK(INDIRECT("D65"))</f>
        <v>1</v>
      </c>
      <c r="AC65" s="27">
        <f ca="1">COUNTBLANK(INDIRECT("E65"))</f>
        <v>1</v>
      </c>
      <c r="AD65" s="27">
        <f ca="1">COUNTBLANK(INDIRECT("F65"))</f>
        <v>1</v>
      </c>
      <c r="AE65" s="27">
        <f ca="1">COUNTBLANK(INDIRECT("G65"))</f>
        <v>1</v>
      </c>
      <c r="AF65" s="27">
        <f ca="1">COUNTBLANK(INDIRECT("H65"))</f>
        <v>1</v>
      </c>
      <c r="AG65" s="27">
        <f ca="1">COUNTBLANK(INDIRECT("B65"))</f>
        <v>1</v>
      </c>
    </row>
    <row r="66" spans="1:33" x14ac:dyDescent="0.25">
      <c r="A66" s="2">
        <v>38</v>
      </c>
      <c r="B66" s="63"/>
      <c r="C66" s="56"/>
      <c r="D66" s="56"/>
      <c r="E66" s="56"/>
      <c r="F66" s="56"/>
      <c r="G66" s="56"/>
      <c r="H66" s="56"/>
      <c r="I66" s="117" t="str">
        <f ca="1">IF(AND(INDIRECT("H66")&gt;=INDIRECT("F66"),AA66=0,AB66=0,AC66=0,AF66=0),"Yes",IF(AND(INDIRECT("H66")&lt;INDIRECT("F66"),AA66=0,AB66=0,AC66=0,AF66=0),"No","N/A"))</f>
        <v>N/A</v>
      </c>
      <c r="J66" s="176" t="str">
        <f t="shared" ca="1" si="5"/>
        <v>No Error</v>
      </c>
      <c r="K66" s="176"/>
      <c r="L66" s="176"/>
      <c r="R66" s="5"/>
      <c r="AA66" s="27">
        <f ca="1">COUNTBLANK(INDIRECT("C66"))</f>
        <v>1</v>
      </c>
      <c r="AB66" s="27">
        <f ca="1">COUNTBLANK(INDIRECT("D66"))</f>
        <v>1</v>
      </c>
      <c r="AC66" s="27">
        <f ca="1">COUNTBLANK(INDIRECT("E66"))</f>
        <v>1</v>
      </c>
      <c r="AD66" s="27">
        <f ca="1">COUNTBLANK(INDIRECT("F66"))</f>
        <v>1</v>
      </c>
      <c r="AE66" s="27">
        <f ca="1">COUNTBLANK(INDIRECT("G66"))</f>
        <v>1</v>
      </c>
      <c r="AF66" s="27">
        <f ca="1">COUNTBLANK(INDIRECT("H66"))</f>
        <v>1</v>
      </c>
      <c r="AG66" s="27">
        <f ca="1">COUNTBLANK(INDIRECT("B66"))</f>
        <v>1</v>
      </c>
    </row>
    <row r="67" spans="1:33" x14ac:dyDescent="0.25">
      <c r="A67" s="2">
        <v>39</v>
      </c>
      <c r="B67" s="63"/>
      <c r="C67" s="56"/>
      <c r="D67" s="56"/>
      <c r="E67" s="56"/>
      <c r="F67" s="56"/>
      <c r="G67" s="56"/>
      <c r="H67" s="56"/>
      <c r="I67" s="117" t="str">
        <f ca="1">IF(AND(INDIRECT("H67")&gt;=INDIRECT("F67"),AA67=0,AB67=0,AC67=0,AF67=0),"Yes",IF(AND(INDIRECT("H67")&lt;INDIRECT("F67"),AA67=0,AB67=0,AC67=0,AF67=0),"No","N/A"))</f>
        <v>N/A</v>
      </c>
      <c r="J67" s="176" t="str">
        <f t="shared" ca="1" si="5"/>
        <v>No Error</v>
      </c>
      <c r="K67" s="176"/>
      <c r="L67" s="176"/>
      <c r="R67" s="5"/>
      <c r="AA67" s="27">
        <f ca="1">COUNTBLANK(INDIRECT("C67"))</f>
        <v>1</v>
      </c>
      <c r="AB67" s="27">
        <f ca="1">COUNTBLANK(INDIRECT("D67"))</f>
        <v>1</v>
      </c>
      <c r="AC67" s="27">
        <f ca="1">COUNTBLANK(INDIRECT("E67"))</f>
        <v>1</v>
      </c>
      <c r="AD67" s="27">
        <f ca="1">COUNTBLANK(INDIRECT("F67"))</f>
        <v>1</v>
      </c>
      <c r="AE67" s="27">
        <f ca="1">COUNTBLANK(INDIRECT("G67"))</f>
        <v>1</v>
      </c>
      <c r="AF67" s="27">
        <f ca="1">COUNTBLANK(INDIRECT("H67"))</f>
        <v>1</v>
      </c>
      <c r="AG67" s="27">
        <f ca="1">COUNTBLANK(INDIRECT("B67"))</f>
        <v>1</v>
      </c>
    </row>
    <row r="68" spans="1:33" x14ac:dyDescent="0.25">
      <c r="A68" s="2">
        <v>40</v>
      </c>
      <c r="B68" s="63"/>
      <c r="C68" s="56"/>
      <c r="D68" s="56"/>
      <c r="E68" s="56"/>
      <c r="F68" s="56"/>
      <c r="G68" s="56"/>
      <c r="H68" s="56"/>
      <c r="I68" s="117" t="str">
        <f ca="1">IF(AND(INDIRECT("H68")&gt;=INDIRECT("F68"),AA68=0,AB68=0,AC68=0,AF68=0),"Yes",IF(AND(INDIRECT("H68")&lt;INDIRECT("F68"),AA68=0,AB68=0,AC68=0,AF68=0),"No","N/A"))</f>
        <v>N/A</v>
      </c>
      <c r="J68" s="176" t="str">
        <f t="shared" ca="1" si="5"/>
        <v>No Error</v>
      </c>
      <c r="K68" s="176"/>
      <c r="L68" s="176"/>
      <c r="R68" s="5"/>
      <c r="AA68" s="27">
        <f ca="1">COUNTBLANK(INDIRECT("C68"))</f>
        <v>1</v>
      </c>
      <c r="AB68" s="27">
        <f ca="1">COUNTBLANK(INDIRECT("D68"))</f>
        <v>1</v>
      </c>
      <c r="AC68" s="27">
        <f ca="1">COUNTBLANK(INDIRECT("E68"))</f>
        <v>1</v>
      </c>
      <c r="AD68" s="27">
        <f ca="1">COUNTBLANK(INDIRECT("F68"))</f>
        <v>1</v>
      </c>
      <c r="AE68" s="27">
        <f ca="1">COUNTBLANK(INDIRECT("G68"))</f>
        <v>1</v>
      </c>
      <c r="AF68" s="27">
        <f ca="1">COUNTBLANK(INDIRECT("H68"))</f>
        <v>1</v>
      </c>
      <c r="AG68" s="27">
        <f ca="1">COUNTBLANK(INDIRECT("B68"))</f>
        <v>1</v>
      </c>
    </row>
    <row r="69" spans="1:33" x14ac:dyDescent="0.25">
      <c r="A69" s="2">
        <v>41</v>
      </c>
      <c r="B69" s="63"/>
      <c r="C69" s="56"/>
      <c r="D69" s="56"/>
      <c r="E69" s="56"/>
      <c r="F69" s="56"/>
      <c r="G69" s="56"/>
      <c r="H69" s="56"/>
      <c r="I69" s="117" t="str">
        <f ca="1">IF(AND(INDIRECT("H69")&gt;=INDIRECT("F69"),AA69=0,AB69=0,AC69=0,AF69=0),"Yes",IF(AND(INDIRECT("H69")&lt;INDIRECT("F69"),AA69=0,AB69=0,AC69=0,AF69=0),"No","N/A"))</f>
        <v>N/A</v>
      </c>
      <c r="J69" s="176" t="str">
        <f t="shared" ca="1" si="5"/>
        <v>No Error</v>
      </c>
      <c r="K69" s="176"/>
      <c r="L69" s="176"/>
      <c r="R69" s="5"/>
      <c r="AA69" s="27">
        <f ca="1">COUNTBLANK(INDIRECT("C69"))</f>
        <v>1</v>
      </c>
      <c r="AB69" s="27">
        <f ca="1">COUNTBLANK(INDIRECT("D69"))</f>
        <v>1</v>
      </c>
      <c r="AC69" s="27">
        <f ca="1">COUNTBLANK(INDIRECT("E69"))</f>
        <v>1</v>
      </c>
      <c r="AD69" s="27">
        <f ca="1">COUNTBLANK(INDIRECT("F69"))</f>
        <v>1</v>
      </c>
      <c r="AE69" s="27">
        <f ca="1">COUNTBLANK(INDIRECT("G69"))</f>
        <v>1</v>
      </c>
      <c r="AF69" s="27">
        <f ca="1">COUNTBLANK(INDIRECT("H69"))</f>
        <v>1</v>
      </c>
      <c r="AG69" s="27">
        <f ca="1">COUNTBLANK(INDIRECT("B69"))</f>
        <v>1</v>
      </c>
    </row>
    <row r="70" spans="1:33" x14ac:dyDescent="0.25">
      <c r="A70" s="2">
        <v>42</v>
      </c>
      <c r="B70" s="63"/>
      <c r="C70" s="56"/>
      <c r="D70" s="56"/>
      <c r="E70" s="56"/>
      <c r="F70" s="56"/>
      <c r="G70" s="56"/>
      <c r="H70" s="56"/>
      <c r="I70" s="117" t="str">
        <f ca="1">IF(AND(INDIRECT("H70")&gt;=INDIRECT("F70"),AA70=0,AB70=0,AC70=0,AF70=0),"Yes",IF(AND(INDIRECT("H70")&lt;INDIRECT("F70"),AA70=0,AB70=0,AC70=0,AF70=0),"No","N/A"))</f>
        <v>N/A</v>
      </c>
      <c r="J70" s="176" t="str">
        <f t="shared" ca="1" si="5"/>
        <v>No Error</v>
      </c>
      <c r="K70" s="176"/>
      <c r="L70" s="176"/>
      <c r="R70" s="5"/>
      <c r="AA70" s="27">
        <f ca="1">COUNTBLANK(INDIRECT("C70"))</f>
        <v>1</v>
      </c>
      <c r="AB70" s="27">
        <f ca="1">COUNTBLANK(INDIRECT("D70"))</f>
        <v>1</v>
      </c>
      <c r="AC70" s="27">
        <f ca="1">COUNTBLANK(INDIRECT("E70"))</f>
        <v>1</v>
      </c>
      <c r="AD70" s="27">
        <f ca="1">COUNTBLANK(INDIRECT("F70"))</f>
        <v>1</v>
      </c>
      <c r="AE70" s="27">
        <f ca="1">COUNTBLANK(INDIRECT("G70"))</f>
        <v>1</v>
      </c>
      <c r="AF70" s="27">
        <f ca="1">COUNTBLANK(INDIRECT("H70"))</f>
        <v>1</v>
      </c>
      <c r="AG70" s="27">
        <f ca="1">COUNTBLANK(INDIRECT("B70"))</f>
        <v>1</v>
      </c>
    </row>
    <row r="71" spans="1:33" x14ac:dyDescent="0.25">
      <c r="A71" s="2">
        <v>43</v>
      </c>
      <c r="B71" s="63"/>
      <c r="C71" s="56"/>
      <c r="D71" s="56"/>
      <c r="E71" s="56"/>
      <c r="F71" s="56"/>
      <c r="G71" s="56"/>
      <c r="H71" s="56"/>
      <c r="I71" s="117" t="str">
        <f ca="1">IF(AND(INDIRECT("H71")&gt;=INDIRECT("F71"),AA71=0,AB71=0,AC71=0,AF71=0),"Yes",IF(AND(INDIRECT("H71")&lt;INDIRECT("F71"),AA71=0,AB71=0,AC71=0,AF71=0),"No","N/A"))</f>
        <v>N/A</v>
      </c>
      <c r="J71" s="176" t="str">
        <f t="shared" ca="1" si="5"/>
        <v>No Error</v>
      </c>
      <c r="K71" s="176"/>
      <c r="L71" s="176"/>
      <c r="R71" s="5"/>
      <c r="AA71" s="27">
        <f ca="1">COUNTBLANK(INDIRECT("C71"))</f>
        <v>1</v>
      </c>
      <c r="AB71" s="27">
        <f ca="1">COUNTBLANK(INDIRECT("D71"))</f>
        <v>1</v>
      </c>
      <c r="AC71" s="27">
        <f ca="1">COUNTBLANK(INDIRECT("E71"))</f>
        <v>1</v>
      </c>
      <c r="AD71" s="27">
        <f ca="1">COUNTBLANK(INDIRECT("F71"))</f>
        <v>1</v>
      </c>
      <c r="AE71" s="27">
        <f ca="1">COUNTBLANK(INDIRECT("G71"))</f>
        <v>1</v>
      </c>
      <c r="AF71" s="27">
        <f ca="1">COUNTBLANK(INDIRECT("H71"))</f>
        <v>1</v>
      </c>
      <c r="AG71" s="27">
        <f ca="1">COUNTBLANK(INDIRECT("B71"))</f>
        <v>1</v>
      </c>
    </row>
    <row r="72" spans="1:33" x14ac:dyDescent="0.25">
      <c r="A72" s="2">
        <v>44</v>
      </c>
      <c r="B72" s="63"/>
      <c r="C72" s="56"/>
      <c r="D72" s="56"/>
      <c r="E72" s="56"/>
      <c r="F72" s="56"/>
      <c r="G72" s="56"/>
      <c r="H72" s="56"/>
      <c r="I72" s="117" t="str">
        <f ca="1">IF(AND(INDIRECT("H72")&gt;=INDIRECT("F72"),AA72=0,AB72=0,AC72=0,AF72=0),"Yes",IF(AND(INDIRECT("H72")&lt;INDIRECT("F72"),AA72=0,AB72=0,AC72=0,AF72=0),"No","N/A"))</f>
        <v>N/A</v>
      </c>
      <c r="J72" s="176" t="str">
        <f t="shared" ca="1" si="5"/>
        <v>No Error</v>
      </c>
      <c r="K72" s="176"/>
      <c r="L72" s="176"/>
      <c r="R72" s="5"/>
      <c r="AA72" s="27">
        <f ca="1">COUNTBLANK(INDIRECT("C72"))</f>
        <v>1</v>
      </c>
      <c r="AB72" s="27">
        <f ca="1">COUNTBLANK(INDIRECT("D72"))</f>
        <v>1</v>
      </c>
      <c r="AC72" s="27">
        <f ca="1">COUNTBLANK(INDIRECT("E72"))</f>
        <v>1</v>
      </c>
      <c r="AD72" s="27">
        <f ca="1">COUNTBLANK(INDIRECT("F72"))</f>
        <v>1</v>
      </c>
      <c r="AE72" s="27">
        <f ca="1">COUNTBLANK(INDIRECT("G72"))</f>
        <v>1</v>
      </c>
      <c r="AF72" s="27">
        <f ca="1">COUNTBLANK(INDIRECT("H72"))</f>
        <v>1</v>
      </c>
      <c r="AG72" s="27">
        <f ca="1">COUNTBLANK(INDIRECT("B72"))</f>
        <v>1</v>
      </c>
    </row>
    <row r="73" spans="1:33" x14ac:dyDescent="0.25">
      <c r="A73" s="2">
        <v>45</v>
      </c>
      <c r="B73" s="63"/>
      <c r="C73" s="56"/>
      <c r="D73" s="56"/>
      <c r="E73" s="56"/>
      <c r="F73" s="56"/>
      <c r="G73" s="56"/>
      <c r="H73" s="56"/>
      <c r="I73" s="117" t="str">
        <f ca="1">IF(AND(INDIRECT("H73")&gt;=INDIRECT("F73"),AA73=0,AB73=0,AC73=0,AF73=0),"Yes",IF(AND(INDIRECT("H73")&lt;INDIRECT("F73"),AA73=0,AB73=0,AC73=0,AF73=0),"No","N/A"))</f>
        <v>N/A</v>
      </c>
      <c r="J73" s="176" t="str">
        <f t="shared" ca="1" si="5"/>
        <v>No Error</v>
      </c>
      <c r="K73" s="176"/>
      <c r="L73" s="176"/>
      <c r="R73" s="5"/>
      <c r="AA73" s="27">
        <f ca="1">COUNTBLANK(INDIRECT("C73"))</f>
        <v>1</v>
      </c>
      <c r="AB73" s="27">
        <f ca="1">COUNTBLANK(INDIRECT("D73"))</f>
        <v>1</v>
      </c>
      <c r="AC73" s="27">
        <f ca="1">COUNTBLANK(INDIRECT("E73"))</f>
        <v>1</v>
      </c>
      <c r="AD73" s="27">
        <f ca="1">COUNTBLANK(INDIRECT("F73"))</f>
        <v>1</v>
      </c>
      <c r="AE73" s="27">
        <f ca="1">COUNTBLANK(INDIRECT("G73"))</f>
        <v>1</v>
      </c>
      <c r="AF73" s="27">
        <f ca="1">COUNTBLANK(INDIRECT("H73"))</f>
        <v>1</v>
      </c>
      <c r="AG73" s="27">
        <f ca="1">COUNTBLANK(INDIRECT("B73"))</f>
        <v>1</v>
      </c>
    </row>
    <row r="74" spans="1:33" x14ac:dyDescent="0.25">
      <c r="A74" s="2">
        <v>46</v>
      </c>
      <c r="B74" s="63"/>
      <c r="C74" s="56"/>
      <c r="D74" s="56"/>
      <c r="E74" s="56"/>
      <c r="F74" s="56"/>
      <c r="G74" s="56"/>
      <c r="H74" s="56"/>
      <c r="I74" s="117" t="str">
        <f ca="1">IF(AND(INDIRECT("H74")&gt;=INDIRECT("F74"),AA74=0,AB74=0,AC74=0,AF74=0),"Yes",IF(AND(INDIRECT("H74")&lt;INDIRECT("F74"),AA74=0,AB74=0,AC74=0,AF74=0),"No","N/A"))</f>
        <v>N/A</v>
      </c>
      <c r="J74" s="176" t="str">
        <f t="shared" ca="1" si="5"/>
        <v>No Error</v>
      </c>
      <c r="K74" s="176"/>
      <c r="L74" s="176"/>
      <c r="R74" s="5"/>
      <c r="AA74" s="27">
        <f ca="1">COUNTBLANK(INDIRECT("C74"))</f>
        <v>1</v>
      </c>
      <c r="AB74" s="27">
        <f ca="1">COUNTBLANK(INDIRECT("D74"))</f>
        <v>1</v>
      </c>
      <c r="AC74" s="27">
        <f ca="1">COUNTBLANK(INDIRECT("E74"))</f>
        <v>1</v>
      </c>
      <c r="AD74" s="27">
        <f ca="1">COUNTBLANK(INDIRECT("F74"))</f>
        <v>1</v>
      </c>
      <c r="AE74" s="27">
        <f ca="1">COUNTBLANK(INDIRECT("G74"))</f>
        <v>1</v>
      </c>
      <c r="AF74" s="27">
        <f ca="1">COUNTBLANK(INDIRECT("H74"))</f>
        <v>1</v>
      </c>
      <c r="AG74" s="27">
        <f ca="1">COUNTBLANK(INDIRECT("B74"))</f>
        <v>1</v>
      </c>
    </row>
    <row r="75" spans="1:33" x14ac:dyDescent="0.25">
      <c r="A75" s="2">
        <v>47</v>
      </c>
      <c r="B75" s="63"/>
      <c r="C75" s="56"/>
      <c r="D75" s="56"/>
      <c r="E75" s="56"/>
      <c r="F75" s="56"/>
      <c r="G75" s="56"/>
      <c r="H75" s="56"/>
      <c r="I75" s="117" t="str">
        <f ca="1">IF(AND(INDIRECT("H75")&gt;=INDIRECT("F75"),AA75=0,AB75=0,AC75=0,AF75=0),"Yes",IF(AND(INDIRECT("H75")&lt;INDIRECT("F75"),AA75=0,AB75=0,AC75=0,AF75=0),"No","N/A"))</f>
        <v>N/A</v>
      </c>
      <c r="J75" s="176" t="str">
        <f t="shared" ca="1" si="5"/>
        <v>No Error</v>
      </c>
      <c r="K75" s="176"/>
      <c r="L75" s="176"/>
      <c r="R75" s="5"/>
      <c r="AA75" s="27">
        <f ca="1">COUNTBLANK(INDIRECT("C75"))</f>
        <v>1</v>
      </c>
      <c r="AB75" s="27">
        <f ca="1">COUNTBLANK(INDIRECT("D75"))</f>
        <v>1</v>
      </c>
      <c r="AC75" s="27">
        <f ca="1">COUNTBLANK(INDIRECT("E75"))</f>
        <v>1</v>
      </c>
      <c r="AD75" s="27">
        <f ca="1">COUNTBLANK(INDIRECT("F75"))</f>
        <v>1</v>
      </c>
      <c r="AE75" s="27">
        <f ca="1">COUNTBLANK(INDIRECT("G75"))</f>
        <v>1</v>
      </c>
      <c r="AF75" s="27">
        <f ca="1">COUNTBLANK(INDIRECT("H75"))</f>
        <v>1</v>
      </c>
      <c r="AG75" s="27">
        <f ca="1">COUNTBLANK(INDIRECT("B75"))</f>
        <v>1</v>
      </c>
    </row>
    <row r="76" spans="1:33" x14ac:dyDescent="0.25">
      <c r="A76" s="2">
        <v>48</v>
      </c>
      <c r="B76" s="63"/>
      <c r="C76" s="56"/>
      <c r="D76" s="56"/>
      <c r="E76" s="56"/>
      <c r="F76" s="56"/>
      <c r="G76" s="56"/>
      <c r="H76" s="56"/>
      <c r="I76" s="117" t="str">
        <f ca="1">IF(AND(INDIRECT("H76")&gt;=INDIRECT("F76"),AA76=0,AB76=0,AC76=0,AF76=0),"Yes",IF(AND(INDIRECT("H76")&lt;INDIRECT("F76"),AA76=0,AB76=0,AC76=0,AF76=0),"No","N/A"))</f>
        <v>N/A</v>
      </c>
      <c r="J76" s="176" t="str">
        <f t="shared" ca="1" si="5"/>
        <v>No Error</v>
      </c>
      <c r="K76" s="176"/>
      <c r="L76" s="176"/>
      <c r="R76" s="5"/>
      <c r="AA76" s="27">
        <f ca="1">COUNTBLANK(INDIRECT("C76"))</f>
        <v>1</v>
      </c>
      <c r="AB76" s="27">
        <f ca="1">COUNTBLANK(INDIRECT("D76"))</f>
        <v>1</v>
      </c>
      <c r="AC76" s="27">
        <f ca="1">COUNTBLANK(INDIRECT("E76"))</f>
        <v>1</v>
      </c>
      <c r="AD76" s="27">
        <f ca="1">COUNTBLANK(INDIRECT("F76"))</f>
        <v>1</v>
      </c>
      <c r="AE76" s="27">
        <f ca="1">COUNTBLANK(INDIRECT("G76"))</f>
        <v>1</v>
      </c>
      <c r="AF76" s="27">
        <f ca="1">COUNTBLANK(INDIRECT("H76"))</f>
        <v>1</v>
      </c>
      <c r="AG76" s="27">
        <f ca="1">COUNTBLANK(INDIRECT("B76"))</f>
        <v>1</v>
      </c>
    </row>
    <row r="77" spans="1:33" x14ac:dyDescent="0.25">
      <c r="A77" s="2">
        <v>49</v>
      </c>
      <c r="B77" s="63"/>
      <c r="C77" s="56"/>
      <c r="D77" s="56"/>
      <c r="E77" s="56"/>
      <c r="F77" s="56"/>
      <c r="G77" s="56"/>
      <c r="H77" s="56"/>
      <c r="I77" s="117" t="str">
        <f ca="1">IF(AND(INDIRECT("H77")&gt;=INDIRECT("F77"),AA77=0,AB77=0,AC77=0,AF77=0),"Yes",IF(AND(INDIRECT("H77")&lt;INDIRECT("F77"),AA77=0,AB77=0,AC77=0,AF77=0),"No","N/A"))</f>
        <v>N/A</v>
      </c>
      <c r="J77" s="176" t="str">
        <f t="shared" ca="1" si="5"/>
        <v>No Error</v>
      </c>
      <c r="K77" s="176"/>
      <c r="L77" s="176"/>
      <c r="R77" s="5"/>
      <c r="AA77" s="27">
        <f ca="1">COUNTBLANK(INDIRECT("C77"))</f>
        <v>1</v>
      </c>
      <c r="AB77" s="27">
        <f ca="1">COUNTBLANK(INDIRECT("D77"))</f>
        <v>1</v>
      </c>
      <c r="AC77" s="27">
        <f ca="1">COUNTBLANK(INDIRECT("E77"))</f>
        <v>1</v>
      </c>
      <c r="AD77" s="27">
        <f ca="1">COUNTBLANK(INDIRECT("F77"))</f>
        <v>1</v>
      </c>
      <c r="AE77" s="27">
        <f ca="1">COUNTBLANK(INDIRECT("G77"))</f>
        <v>1</v>
      </c>
      <c r="AF77" s="27">
        <f ca="1">COUNTBLANK(INDIRECT("H77"))</f>
        <v>1</v>
      </c>
      <c r="AG77" s="27">
        <f ca="1">COUNTBLANK(INDIRECT("B77"))</f>
        <v>1</v>
      </c>
    </row>
    <row r="78" spans="1:33" x14ac:dyDescent="0.25">
      <c r="A78" s="2">
        <v>50</v>
      </c>
      <c r="B78" s="63"/>
      <c r="C78" s="56"/>
      <c r="D78" s="56"/>
      <c r="E78" s="56"/>
      <c r="F78" s="56"/>
      <c r="G78" s="56"/>
      <c r="H78" s="56"/>
      <c r="I78" s="117" t="str">
        <f ca="1">IF(AND(INDIRECT("H78")&gt;=INDIRECT("F78"),AA78=0,AB78=0,AC78=0,AF78=0),"Yes",IF(AND(INDIRECT("H78")&lt;INDIRECT("F78"),AA78=0,AB78=0,AC78=0,AF78=0),"No","N/A"))</f>
        <v>N/A</v>
      </c>
      <c r="J78" s="176" t="str">
        <f t="shared" ca="1" si="5"/>
        <v>No Error</v>
      </c>
      <c r="K78" s="176"/>
      <c r="L78" s="176"/>
      <c r="R78" s="5"/>
      <c r="AA78" s="27">
        <f ca="1">COUNTBLANK(INDIRECT("C78"))</f>
        <v>1</v>
      </c>
      <c r="AB78" s="27">
        <f ca="1">COUNTBLANK(INDIRECT("D78"))</f>
        <v>1</v>
      </c>
      <c r="AC78" s="27">
        <f ca="1">COUNTBLANK(INDIRECT("E78"))</f>
        <v>1</v>
      </c>
      <c r="AD78" s="27">
        <f ca="1">COUNTBLANK(INDIRECT("F78"))</f>
        <v>1</v>
      </c>
      <c r="AE78" s="27">
        <f ca="1">COUNTBLANK(INDIRECT("G78"))</f>
        <v>1</v>
      </c>
      <c r="AF78" s="27">
        <f ca="1">COUNTBLANK(INDIRECT("H78"))</f>
        <v>1</v>
      </c>
      <c r="AG78" s="27">
        <f ca="1">COUNTBLANK(INDIRECT("B78"))</f>
        <v>1</v>
      </c>
    </row>
    <row r="79" spans="1:33" x14ac:dyDescent="0.25">
      <c r="A79" s="2">
        <v>51</v>
      </c>
      <c r="B79" s="63"/>
      <c r="C79" s="56"/>
      <c r="D79" s="56"/>
      <c r="E79" s="56"/>
      <c r="F79" s="56"/>
      <c r="G79" s="56"/>
      <c r="H79" s="56"/>
      <c r="I79" s="117" t="str">
        <f ca="1">IF(AND(INDIRECT("H79")&gt;=INDIRECT("F79"),AA79=0,AB79=0,AC79=0,AF79=0),"Yes",IF(AND(INDIRECT("H79")&lt;INDIRECT("F79"),AA79=0,AB79=0,AC79=0,AF79=0),"No","N/A"))</f>
        <v>N/A</v>
      </c>
      <c r="J79" s="176" t="str">
        <f t="shared" ca="1" si="5"/>
        <v>No Error</v>
      </c>
      <c r="K79" s="176"/>
      <c r="L79" s="176"/>
      <c r="R79" s="5"/>
      <c r="AA79" s="27">
        <f ca="1">COUNTBLANK(INDIRECT("C79"))</f>
        <v>1</v>
      </c>
      <c r="AB79" s="27">
        <f ca="1">COUNTBLANK(INDIRECT("D79"))</f>
        <v>1</v>
      </c>
      <c r="AC79" s="27">
        <f ca="1">COUNTBLANK(INDIRECT("E79"))</f>
        <v>1</v>
      </c>
      <c r="AD79" s="27">
        <f ca="1">COUNTBLANK(INDIRECT("F79"))</f>
        <v>1</v>
      </c>
      <c r="AE79" s="27">
        <f ca="1">COUNTBLANK(INDIRECT("G79"))</f>
        <v>1</v>
      </c>
      <c r="AF79" s="27">
        <f ca="1">COUNTBLANK(INDIRECT("H79"))</f>
        <v>1</v>
      </c>
      <c r="AG79" s="27">
        <f ca="1">COUNTBLANK(INDIRECT("B79"))</f>
        <v>1</v>
      </c>
    </row>
    <row r="80" spans="1:33" x14ac:dyDescent="0.25">
      <c r="A80" s="2">
        <v>52</v>
      </c>
      <c r="B80" s="63"/>
      <c r="C80" s="56"/>
      <c r="D80" s="56"/>
      <c r="E80" s="56"/>
      <c r="F80" s="56"/>
      <c r="G80" s="56"/>
      <c r="H80" s="56"/>
      <c r="I80" s="117" t="str">
        <f ca="1">IF(AND(INDIRECT("H80")&gt;=INDIRECT("F80"),AA80=0,AB80=0,AC80=0,AF80=0),"Yes",IF(AND(INDIRECT("H80")&lt;INDIRECT("F80"),AA80=0,AB80=0,AC80=0,AF80=0),"No","N/A"))</f>
        <v>N/A</v>
      </c>
      <c r="J80" s="176" t="str">
        <f t="shared" ca="1" si="5"/>
        <v>No Error</v>
      </c>
      <c r="K80" s="176"/>
      <c r="L80" s="176"/>
      <c r="R80" s="5"/>
      <c r="AA80" s="27">
        <f ca="1">COUNTBLANK(INDIRECT("C80"))</f>
        <v>1</v>
      </c>
      <c r="AB80" s="27">
        <f ca="1">COUNTBLANK(INDIRECT("D80"))</f>
        <v>1</v>
      </c>
      <c r="AC80" s="27">
        <f ca="1">COUNTBLANK(INDIRECT("E80"))</f>
        <v>1</v>
      </c>
      <c r="AD80" s="27">
        <f ca="1">COUNTBLANK(INDIRECT("F80"))</f>
        <v>1</v>
      </c>
      <c r="AE80" s="27">
        <f ca="1">COUNTBLANK(INDIRECT("G80"))</f>
        <v>1</v>
      </c>
      <c r="AF80" s="27">
        <f ca="1">COUNTBLANK(INDIRECT("H80"))</f>
        <v>1</v>
      </c>
      <c r="AG80" s="27">
        <f ca="1">COUNTBLANK(INDIRECT("B80"))</f>
        <v>1</v>
      </c>
    </row>
    <row r="81" spans="1:33" x14ac:dyDescent="0.25">
      <c r="A81" s="2">
        <v>53</v>
      </c>
      <c r="B81" s="63"/>
      <c r="C81" s="56"/>
      <c r="D81" s="56"/>
      <c r="E81" s="56"/>
      <c r="F81" s="56"/>
      <c r="G81" s="56"/>
      <c r="H81" s="56"/>
      <c r="I81" s="117" t="str">
        <f ca="1">IF(AND(INDIRECT("H81")&gt;=INDIRECT("F81"),AA81=0,AB81=0,AC81=0,AF81=0),"Yes",IF(AND(INDIRECT("H81")&lt;INDIRECT("F81"),AA81=0,AB81=0,AC81=0,AF81=0),"No","N/A"))</f>
        <v>N/A</v>
      </c>
      <c r="J81" s="176" t="str">
        <f t="shared" ca="1" si="5"/>
        <v>No Error</v>
      </c>
      <c r="K81" s="176"/>
      <c r="L81" s="176"/>
      <c r="R81" s="5"/>
      <c r="AA81" s="27">
        <f ca="1">COUNTBLANK(INDIRECT("C81"))</f>
        <v>1</v>
      </c>
      <c r="AB81" s="27">
        <f ca="1">COUNTBLANK(INDIRECT("D81"))</f>
        <v>1</v>
      </c>
      <c r="AC81" s="27">
        <f ca="1">COUNTBLANK(INDIRECT("E81"))</f>
        <v>1</v>
      </c>
      <c r="AD81" s="27">
        <f ca="1">COUNTBLANK(INDIRECT("F81"))</f>
        <v>1</v>
      </c>
      <c r="AE81" s="27">
        <f ca="1">COUNTBLANK(INDIRECT("G81"))</f>
        <v>1</v>
      </c>
      <c r="AF81" s="27">
        <f ca="1">COUNTBLANK(INDIRECT("H81"))</f>
        <v>1</v>
      </c>
      <c r="AG81" s="27">
        <f ca="1">COUNTBLANK(INDIRECT("B81"))</f>
        <v>1</v>
      </c>
    </row>
    <row r="82" spans="1:33" x14ac:dyDescent="0.25">
      <c r="A82" s="2">
        <v>54</v>
      </c>
      <c r="B82" s="63"/>
      <c r="C82" s="56"/>
      <c r="D82" s="56"/>
      <c r="E82" s="56"/>
      <c r="F82" s="56"/>
      <c r="G82" s="56"/>
      <c r="H82" s="56"/>
      <c r="I82" s="117" t="str">
        <f ca="1">IF(AND(INDIRECT("H82")&gt;=INDIRECT("F82"),AA82=0,AB82=0,AC82=0,AF82=0),"Yes",IF(AND(INDIRECT("H82")&lt;INDIRECT("F82"),AA82=0,AB82=0,AC82=0,AF82=0),"No","N/A"))</f>
        <v>N/A</v>
      </c>
      <c r="J82" s="176" t="str">
        <f t="shared" ca="1" si="5"/>
        <v>No Error</v>
      </c>
      <c r="K82" s="176"/>
      <c r="L82" s="176"/>
      <c r="R82" s="5"/>
      <c r="AA82" s="27">
        <f ca="1">COUNTBLANK(INDIRECT("C82"))</f>
        <v>1</v>
      </c>
      <c r="AB82" s="27">
        <f ca="1">COUNTBLANK(INDIRECT("D82"))</f>
        <v>1</v>
      </c>
      <c r="AC82" s="27">
        <f ca="1">COUNTBLANK(INDIRECT("E82"))</f>
        <v>1</v>
      </c>
      <c r="AD82" s="27">
        <f ca="1">COUNTBLANK(INDIRECT("F82"))</f>
        <v>1</v>
      </c>
      <c r="AE82" s="27">
        <f ca="1">COUNTBLANK(INDIRECT("G82"))</f>
        <v>1</v>
      </c>
      <c r="AF82" s="27">
        <f ca="1">COUNTBLANK(INDIRECT("H82"))</f>
        <v>1</v>
      </c>
      <c r="AG82" s="27">
        <f ca="1">COUNTBLANK(INDIRECT("B82"))</f>
        <v>1</v>
      </c>
    </row>
    <row r="83" spans="1:33" x14ac:dyDescent="0.25">
      <c r="A83" s="2">
        <v>55</v>
      </c>
      <c r="B83" s="63"/>
      <c r="C83" s="56"/>
      <c r="D83" s="56"/>
      <c r="E83" s="56"/>
      <c r="F83" s="56"/>
      <c r="G83" s="56"/>
      <c r="H83" s="56"/>
      <c r="I83" s="117" t="str">
        <f ca="1">IF(AND(INDIRECT("H83")&gt;=INDIRECT("F83"),AA83=0,AB83=0,AC83=0,AF83=0),"Yes",IF(AND(INDIRECT("H83")&lt;INDIRECT("F83"),AA83=0,AB83=0,AC83=0,AF83=0),"No","N/A"))</f>
        <v>N/A</v>
      </c>
      <c r="J83" s="176" t="str">
        <f t="shared" ca="1" si="5"/>
        <v>No Error</v>
      </c>
      <c r="K83" s="176"/>
      <c r="L83" s="176"/>
      <c r="R83" s="5"/>
      <c r="AA83" s="27">
        <f ca="1">COUNTBLANK(INDIRECT("C83"))</f>
        <v>1</v>
      </c>
      <c r="AB83" s="27">
        <f ca="1">COUNTBLANK(INDIRECT("D83"))</f>
        <v>1</v>
      </c>
      <c r="AC83" s="27">
        <f ca="1">COUNTBLANK(INDIRECT("E83"))</f>
        <v>1</v>
      </c>
      <c r="AD83" s="27">
        <f ca="1">COUNTBLANK(INDIRECT("F83"))</f>
        <v>1</v>
      </c>
      <c r="AE83" s="27">
        <f ca="1">COUNTBLANK(INDIRECT("G83"))</f>
        <v>1</v>
      </c>
      <c r="AF83" s="27">
        <f ca="1">COUNTBLANK(INDIRECT("H83"))</f>
        <v>1</v>
      </c>
      <c r="AG83" s="27">
        <f ca="1">COUNTBLANK(INDIRECT("B83"))</f>
        <v>1</v>
      </c>
    </row>
    <row r="84" spans="1:33" x14ac:dyDescent="0.25">
      <c r="A84" s="2">
        <v>56</v>
      </c>
      <c r="B84" s="63"/>
      <c r="C84" s="56"/>
      <c r="D84" s="56"/>
      <c r="E84" s="56"/>
      <c r="F84" s="56"/>
      <c r="G84" s="56"/>
      <c r="H84" s="56"/>
      <c r="I84" s="117" t="str">
        <f ca="1">IF(AND(INDIRECT("H84")&gt;=INDIRECT("F84"),AA84=0,AB84=0,AC84=0,AF84=0),"Yes",IF(AND(INDIRECT("H84")&lt;INDIRECT("F84"),AA84=0,AB84=0,AC84=0,AF84=0),"No","N/A"))</f>
        <v>N/A</v>
      </c>
      <c r="J84" s="176" t="str">
        <f t="shared" ca="1" si="5"/>
        <v>No Error</v>
      </c>
      <c r="K84" s="176"/>
      <c r="L84" s="176"/>
      <c r="R84" s="5"/>
      <c r="AA84" s="27">
        <f ca="1">COUNTBLANK(INDIRECT("C84"))</f>
        <v>1</v>
      </c>
      <c r="AB84" s="27">
        <f ca="1">COUNTBLANK(INDIRECT("D84"))</f>
        <v>1</v>
      </c>
      <c r="AC84" s="27">
        <f ca="1">COUNTBLANK(INDIRECT("E84"))</f>
        <v>1</v>
      </c>
      <c r="AD84" s="27">
        <f ca="1">COUNTBLANK(INDIRECT("F84"))</f>
        <v>1</v>
      </c>
      <c r="AE84" s="27">
        <f ca="1">COUNTBLANK(INDIRECT("G84"))</f>
        <v>1</v>
      </c>
      <c r="AF84" s="27">
        <f ca="1">COUNTBLANK(INDIRECT("H84"))</f>
        <v>1</v>
      </c>
      <c r="AG84" s="27">
        <f ca="1">COUNTBLANK(INDIRECT("B84"))</f>
        <v>1</v>
      </c>
    </row>
    <row r="85" spans="1:33" x14ac:dyDescent="0.25">
      <c r="A85" s="2">
        <v>57</v>
      </c>
      <c r="B85" s="63"/>
      <c r="C85" s="56"/>
      <c r="D85" s="56"/>
      <c r="E85" s="56"/>
      <c r="F85" s="56"/>
      <c r="G85" s="56"/>
      <c r="H85" s="56"/>
      <c r="I85" s="117" t="str">
        <f ca="1">IF(AND(INDIRECT("H85")&gt;=INDIRECT("F85"),AA85=0,AB85=0,AC85=0,AF85=0),"Yes",IF(AND(INDIRECT("H85")&lt;INDIRECT("F85"),AA85=0,AB85=0,AC85=0,AF85=0),"No","N/A"))</f>
        <v>N/A</v>
      </c>
      <c r="J85" s="176" t="str">
        <f t="shared" ca="1" si="5"/>
        <v>No Error</v>
      </c>
      <c r="K85" s="176"/>
      <c r="L85" s="176"/>
      <c r="R85" s="5"/>
      <c r="AA85" s="27">
        <f ca="1">COUNTBLANK(INDIRECT("C85"))</f>
        <v>1</v>
      </c>
      <c r="AB85" s="27">
        <f ca="1">COUNTBLANK(INDIRECT("D85"))</f>
        <v>1</v>
      </c>
      <c r="AC85" s="27">
        <f ca="1">COUNTBLANK(INDIRECT("E85"))</f>
        <v>1</v>
      </c>
      <c r="AD85" s="27">
        <f ca="1">COUNTBLANK(INDIRECT("F85"))</f>
        <v>1</v>
      </c>
      <c r="AE85" s="27">
        <f ca="1">COUNTBLANK(INDIRECT("G85"))</f>
        <v>1</v>
      </c>
      <c r="AF85" s="27">
        <f ca="1">COUNTBLANK(INDIRECT("H85"))</f>
        <v>1</v>
      </c>
      <c r="AG85" s="27">
        <f ca="1">COUNTBLANK(INDIRECT("B85"))</f>
        <v>1</v>
      </c>
    </row>
    <row r="86" spans="1:33" x14ac:dyDescent="0.25">
      <c r="A86" s="2">
        <v>58</v>
      </c>
      <c r="B86" s="63"/>
      <c r="C86" s="56"/>
      <c r="D86" s="56"/>
      <c r="E86" s="56"/>
      <c r="F86" s="56"/>
      <c r="G86" s="56"/>
      <c r="H86" s="56"/>
      <c r="I86" s="117" t="str">
        <f ca="1">IF(AND(INDIRECT("H86")&gt;=INDIRECT("F86"),AA86=0,AB86=0,AC86=0,AF86=0),"Yes",IF(AND(INDIRECT("H86")&lt;INDIRECT("F86"),AA86=0,AB86=0,AC86=0,AF86=0),"No","N/A"))</f>
        <v>N/A</v>
      </c>
      <c r="J86" s="176" t="str">
        <f t="shared" ca="1" si="5"/>
        <v>No Error</v>
      </c>
      <c r="K86" s="176"/>
      <c r="L86" s="176"/>
      <c r="R86" s="5"/>
      <c r="AA86" s="27">
        <f ca="1">COUNTBLANK(INDIRECT("C86"))</f>
        <v>1</v>
      </c>
      <c r="AB86" s="27">
        <f ca="1">COUNTBLANK(INDIRECT("D86"))</f>
        <v>1</v>
      </c>
      <c r="AC86" s="27">
        <f ca="1">COUNTBLANK(INDIRECT("E86"))</f>
        <v>1</v>
      </c>
      <c r="AD86" s="27">
        <f ca="1">COUNTBLANK(INDIRECT("F86"))</f>
        <v>1</v>
      </c>
      <c r="AE86" s="27">
        <f ca="1">COUNTBLANK(INDIRECT("G86"))</f>
        <v>1</v>
      </c>
      <c r="AF86" s="27">
        <f ca="1">COUNTBLANK(INDIRECT("H86"))</f>
        <v>1</v>
      </c>
      <c r="AG86" s="27">
        <f ca="1">COUNTBLANK(INDIRECT("B86"))</f>
        <v>1</v>
      </c>
    </row>
    <row r="87" spans="1:33" x14ac:dyDescent="0.25">
      <c r="A87" s="2">
        <v>59</v>
      </c>
      <c r="B87" s="63"/>
      <c r="C87" s="56"/>
      <c r="D87" s="56"/>
      <c r="E87" s="56"/>
      <c r="F87" s="56"/>
      <c r="G87" s="56"/>
      <c r="H87" s="56"/>
      <c r="I87" s="117" t="str">
        <f ca="1">IF(AND(INDIRECT("H87")&gt;=INDIRECT("F87"),AA87=0,AB87=0,AC87=0,AF87=0),"Yes",IF(AND(INDIRECT("H87")&lt;INDIRECT("F87"),AA87=0,AB87=0,AC87=0,AF87=0),"No","N/A"))</f>
        <v>N/A</v>
      </c>
      <c r="J87" s="176" t="str">
        <f t="shared" ca="1" si="5"/>
        <v>No Error</v>
      </c>
      <c r="K87" s="176"/>
      <c r="L87" s="176"/>
      <c r="R87" s="5"/>
      <c r="AA87" s="27">
        <f ca="1">COUNTBLANK(INDIRECT("C87"))</f>
        <v>1</v>
      </c>
      <c r="AB87" s="27">
        <f ca="1">COUNTBLANK(INDIRECT("D87"))</f>
        <v>1</v>
      </c>
      <c r="AC87" s="27">
        <f ca="1">COUNTBLANK(INDIRECT("E87"))</f>
        <v>1</v>
      </c>
      <c r="AD87" s="27">
        <f ca="1">COUNTBLANK(INDIRECT("F87"))</f>
        <v>1</v>
      </c>
      <c r="AE87" s="27">
        <f ca="1">COUNTBLANK(INDIRECT("G87"))</f>
        <v>1</v>
      </c>
      <c r="AF87" s="27">
        <f ca="1">COUNTBLANK(INDIRECT("H87"))</f>
        <v>1</v>
      </c>
      <c r="AG87" s="27">
        <f ca="1">COUNTBLANK(INDIRECT("B87"))</f>
        <v>1</v>
      </c>
    </row>
    <row r="88" spans="1:33" x14ac:dyDescent="0.25">
      <c r="A88" s="2">
        <v>60</v>
      </c>
      <c r="B88" s="63"/>
      <c r="C88" s="56"/>
      <c r="D88" s="56"/>
      <c r="E88" s="56"/>
      <c r="F88" s="56"/>
      <c r="G88" s="56"/>
      <c r="H88" s="56"/>
      <c r="I88" s="117" t="str">
        <f ca="1">IF(AND(INDIRECT("H88")&gt;=INDIRECT("F88"),AA88=0,AB88=0,AC88=0,AF88=0),"Yes",IF(AND(INDIRECT("H88")&lt;INDIRECT("F88"),AA88=0,AB88=0,AC88=0,AF88=0),"No","N/A"))</f>
        <v>N/A</v>
      </c>
      <c r="J88" s="176" t="str">
        <f t="shared" ca="1" si="5"/>
        <v>No Error</v>
      </c>
      <c r="K88" s="176"/>
      <c r="L88" s="176"/>
      <c r="R88" s="5"/>
      <c r="AA88" s="27">
        <f ca="1">COUNTBLANK(INDIRECT("C88"))</f>
        <v>1</v>
      </c>
      <c r="AB88" s="27">
        <f ca="1">COUNTBLANK(INDIRECT("D88"))</f>
        <v>1</v>
      </c>
      <c r="AC88" s="27">
        <f ca="1">COUNTBLANK(INDIRECT("E88"))</f>
        <v>1</v>
      </c>
      <c r="AD88" s="27">
        <f ca="1">COUNTBLANK(INDIRECT("F88"))</f>
        <v>1</v>
      </c>
      <c r="AE88" s="27">
        <f ca="1">COUNTBLANK(INDIRECT("G88"))</f>
        <v>1</v>
      </c>
      <c r="AF88" s="27">
        <f ca="1">COUNTBLANK(INDIRECT("H88"))</f>
        <v>1</v>
      </c>
      <c r="AG88" s="27">
        <f ca="1">COUNTBLANK(INDIRECT("B88"))</f>
        <v>1</v>
      </c>
    </row>
    <row r="89" spans="1:33" x14ac:dyDescent="0.25">
      <c r="A89" s="2">
        <v>61</v>
      </c>
      <c r="B89" s="63"/>
      <c r="C89" s="56"/>
      <c r="D89" s="56"/>
      <c r="E89" s="56"/>
      <c r="F89" s="56"/>
      <c r="G89" s="56"/>
      <c r="H89" s="56"/>
      <c r="I89" s="117" t="str">
        <f ca="1">IF(AND(INDIRECT("H89")&gt;=INDIRECT("F89"),AA89=0,AB89=0,AC89=0,AF89=0),"Yes",IF(AND(INDIRECT("H89")&lt;INDIRECT("F89"),AA89=0,AB89=0,AC89=0,AF89=0),"No","N/A"))</f>
        <v>N/A</v>
      </c>
      <c r="J89" s="176" t="str">
        <f t="shared" ca="1" si="5"/>
        <v>No Error</v>
      </c>
      <c r="K89" s="176"/>
      <c r="L89" s="176"/>
      <c r="R89" s="5"/>
      <c r="AA89" s="27">
        <f ca="1">COUNTBLANK(INDIRECT("C89"))</f>
        <v>1</v>
      </c>
      <c r="AB89" s="27">
        <f ca="1">COUNTBLANK(INDIRECT("D89"))</f>
        <v>1</v>
      </c>
      <c r="AC89" s="27">
        <f ca="1">COUNTBLANK(INDIRECT("E89"))</f>
        <v>1</v>
      </c>
      <c r="AD89" s="27">
        <f ca="1">COUNTBLANK(INDIRECT("F89"))</f>
        <v>1</v>
      </c>
      <c r="AE89" s="27">
        <f ca="1">COUNTBLANK(INDIRECT("G89"))</f>
        <v>1</v>
      </c>
      <c r="AF89" s="27">
        <f ca="1">COUNTBLANK(INDIRECT("H89"))</f>
        <v>1</v>
      </c>
      <c r="AG89" s="27">
        <f ca="1">COUNTBLANK(INDIRECT("B89"))</f>
        <v>1</v>
      </c>
    </row>
    <row r="90" spans="1:33" x14ac:dyDescent="0.25">
      <c r="A90" s="2">
        <v>62</v>
      </c>
      <c r="B90" s="63"/>
      <c r="C90" s="56"/>
      <c r="D90" s="56"/>
      <c r="E90" s="56"/>
      <c r="F90" s="56"/>
      <c r="G90" s="56"/>
      <c r="H90" s="56"/>
      <c r="I90" s="117" t="str">
        <f ca="1">IF(AND(INDIRECT("H90")&gt;=INDIRECT("F90"),AA90=0,AB90=0,AC90=0,AF90=0),"Yes",IF(AND(INDIRECT("H90")&lt;INDIRECT("F90"),AA90=0,AB90=0,AC90=0,AF90=0),"No","N/A"))</f>
        <v>N/A</v>
      </c>
      <c r="J90" s="176" t="str">
        <f t="shared" ca="1" si="5"/>
        <v>No Error</v>
      </c>
      <c r="K90" s="176"/>
      <c r="L90" s="176"/>
      <c r="R90" s="5"/>
      <c r="AA90" s="27">
        <f ca="1">COUNTBLANK(INDIRECT("C90"))</f>
        <v>1</v>
      </c>
      <c r="AB90" s="27">
        <f ca="1">COUNTBLANK(INDIRECT("D90"))</f>
        <v>1</v>
      </c>
      <c r="AC90" s="27">
        <f ca="1">COUNTBLANK(INDIRECT("E90"))</f>
        <v>1</v>
      </c>
      <c r="AD90" s="27">
        <f ca="1">COUNTBLANK(INDIRECT("F90"))</f>
        <v>1</v>
      </c>
      <c r="AE90" s="27">
        <f ca="1">COUNTBLANK(INDIRECT("G90"))</f>
        <v>1</v>
      </c>
      <c r="AF90" s="27">
        <f ca="1">COUNTBLANK(INDIRECT("H90"))</f>
        <v>1</v>
      </c>
      <c r="AG90" s="27">
        <f ca="1">COUNTBLANK(INDIRECT("B90"))</f>
        <v>1</v>
      </c>
    </row>
    <row r="91" spans="1:33" x14ac:dyDescent="0.25">
      <c r="A91" s="2">
        <v>63</v>
      </c>
      <c r="B91" s="63"/>
      <c r="C91" s="56"/>
      <c r="D91" s="56"/>
      <c r="E91" s="56"/>
      <c r="F91" s="56"/>
      <c r="G91" s="56"/>
      <c r="H91" s="56"/>
      <c r="I91" s="117" t="str">
        <f ca="1">IF(AND(INDIRECT("H91")&gt;=INDIRECT("F91"),AA91=0,AB91=0,AC91=0,AF91=0),"Yes",IF(AND(INDIRECT("H91")&lt;INDIRECT("F91"),AA91=0,AB91=0,AC91=0,AF91=0),"No","N/A"))</f>
        <v>N/A</v>
      </c>
      <c r="J91" s="176" t="str">
        <f t="shared" ca="1" si="5"/>
        <v>No Error</v>
      </c>
      <c r="K91" s="176"/>
      <c r="L91" s="176"/>
      <c r="R91" s="5"/>
      <c r="AA91" s="27">
        <f ca="1">COUNTBLANK(INDIRECT("C91"))</f>
        <v>1</v>
      </c>
      <c r="AB91" s="27">
        <f ca="1">COUNTBLANK(INDIRECT("D91"))</f>
        <v>1</v>
      </c>
      <c r="AC91" s="27">
        <f ca="1">COUNTBLANK(INDIRECT("E91"))</f>
        <v>1</v>
      </c>
      <c r="AD91" s="27">
        <f ca="1">COUNTBLANK(INDIRECT("F91"))</f>
        <v>1</v>
      </c>
      <c r="AE91" s="27">
        <f ca="1">COUNTBLANK(INDIRECT("G91"))</f>
        <v>1</v>
      </c>
      <c r="AF91" s="27">
        <f ca="1">COUNTBLANK(INDIRECT("H91"))</f>
        <v>1</v>
      </c>
      <c r="AG91" s="27">
        <f ca="1">COUNTBLANK(INDIRECT("B91"))</f>
        <v>1</v>
      </c>
    </row>
    <row r="92" spans="1:33" x14ac:dyDescent="0.25">
      <c r="A92" s="2">
        <v>64</v>
      </c>
      <c r="B92" s="63"/>
      <c r="C92" s="56"/>
      <c r="D92" s="56"/>
      <c r="E92" s="56"/>
      <c r="F92" s="56"/>
      <c r="G92" s="56"/>
      <c r="H92" s="56"/>
      <c r="I92" s="117" t="str">
        <f ca="1">IF(AND(INDIRECT("H92")&gt;=INDIRECT("F92"),AA92=0,AB92=0,AC92=0,AF92=0),"Yes",IF(AND(INDIRECT("H92")&lt;INDIRECT("F92"),AA92=0,AB92=0,AC92=0,AF92=0),"No","N/A"))</f>
        <v>N/A</v>
      </c>
      <c r="J92" s="176" t="str">
        <f t="shared" ca="1" si="5"/>
        <v>No Error</v>
      </c>
      <c r="K92" s="176"/>
      <c r="L92" s="176"/>
      <c r="R92" s="5"/>
      <c r="AA92" s="27">
        <f ca="1">COUNTBLANK(INDIRECT("C92"))</f>
        <v>1</v>
      </c>
      <c r="AB92" s="27">
        <f ca="1">COUNTBLANK(INDIRECT("D92"))</f>
        <v>1</v>
      </c>
      <c r="AC92" s="27">
        <f ca="1">COUNTBLANK(INDIRECT("E92"))</f>
        <v>1</v>
      </c>
      <c r="AD92" s="27">
        <f ca="1">COUNTBLANK(INDIRECT("F92"))</f>
        <v>1</v>
      </c>
      <c r="AE92" s="27">
        <f ca="1">COUNTBLANK(INDIRECT("G92"))</f>
        <v>1</v>
      </c>
      <c r="AF92" s="27">
        <f ca="1">COUNTBLANK(INDIRECT("H92"))</f>
        <v>1</v>
      </c>
      <c r="AG92" s="27">
        <f ca="1">COUNTBLANK(INDIRECT("B92"))</f>
        <v>1</v>
      </c>
    </row>
    <row r="93" spans="1:33" x14ac:dyDescent="0.25">
      <c r="A93" s="2">
        <v>65</v>
      </c>
      <c r="B93" s="63"/>
      <c r="C93" s="56"/>
      <c r="D93" s="56"/>
      <c r="E93" s="56"/>
      <c r="F93" s="56"/>
      <c r="G93" s="56"/>
      <c r="H93" s="56"/>
      <c r="I93" s="117" t="str">
        <f ca="1">IF(AND(INDIRECT("H93")&gt;=INDIRECT("F93"),AA93=0,AB93=0,AC93=0,AF93=0),"Yes",IF(AND(INDIRECT("H93")&lt;INDIRECT("F93"),AA93=0,AB93=0,AC93=0,AF93=0),"No","N/A"))</f>
        <v>N/A</v>
      </c>
      <c r="J93" s="176" t="str">
        <f t="shared" ca="1" si="5"/>
        <v>No Error</v>
      </c>
      <c r="K93" s="176"/>
      <c r="L93" s="176"/>
      <c r="R93" s="5"/>
      <c r="AA93" s="27">
        <f ca="1">COUNTBLANK(INDIRECT("C93"))</f>
        <v>1</v>
      </c>
      <c r="AB93" s="27">
        <f ca="1">COUNTBLANK(INDIRECT("D93"))</f>
        <v>1</v>
      </c>
      <c r="AC93" s="27">
        <f ca="1">COUNTBLANK(INDIRECT("E93"))</f>
        <v>1</v>
      </c>
      <c r="AD93" s="27">
        <f ca="1">COUNTBLANK(INDIRECT("F93"))</f>
        <v>1</v>
      </c>
      <c r="AE93" s="27">
        <f ca="1">COUNTBLANK(INDIRECT("G93"))</f>
        <v>1</v>
      </c>
      <c r="AF93" s="27">
        <f ca="1">COUNTBLANK(INDIRECT("H93"))</f>
        <v>1</v>
      </c>
      <c r="AG93" s="27">
        <f ca="1">COUNTBLANK(INDIRECT("B93"))</f>
        <v>1</v>
      </c>
    </row>
    <row r="94" spans="1:33" x14ac:dyDescent="0.25">
      <c r="A94" s="2">
        <v>66</v>
      </c>
      <c r="B94" s="63"/>
      <c r="C94" s="56"/>
      <c r="D94" s="56"/>
      <c r="E94" s="56"/>
      <c r="F94" s="56"/>
      <c r="G94" s="56"/>
      <c r="H94" s="56"/>
      <c r="I94" s="117" t="str">
        <f ca="1">IF(AND(INDIRECT("H94")&gt;=INDIRECT("F94"),AA94=0,AB94=0,AC94=0,AF94=0),"Yes",IF(AND(INDIRECT("H94")&lt;INDIRECT("F94"),AA94=0,AB94=0,AC94=0,AF94=0),"No","N/A"))</f>
        <v>N/A</v>
      </c>
      <c r="J94" s="176" t="str">
        <f t="shared" ref="J94:J157" ca="1" si="9">IF(AND(AF94=0,AG94=0,AA94=0,AB94=0,AC94=0,AD94=0),"No Error",IF(AND(AF94=1,AG94=1,AA94=1,AB94=1,AC94=1,AD94=1),"No Error","Please supply all information"))</f>
        <v>No Error</v>
      </c>
      <c r="K94" s="176"/>
      <c r="L94" s="176"/>
      <c r="R94" s="5"/>
      <c r="AA94" s="27">
        <f ca="1">COUNTBLANK(INDIRECT("C94"))</f>
        <v>1</v>
      </c>
      <c r="AB94" s="27">
        <f ca="1">COUNTBLANK(INDIRECT("D94"))</f>
        <v>1</v>
      </c>
      <c r="AC94" s="27">
        <f ca="1">COUNTBLANK(INDIRECT("E94"))</f>
        <v>1</v>
      </c>
      <c r="AD94" s="27">
        <f ca="1">COUNTBLANK(INDIRECT("F94"))</f>
        <v>1</v>
      </c>
      <c r="AE94" s="27">
        <f ca="1">COUNTBLANK(INDIRECT("G94"))</f>
        <v>1</v>
      </c>
      <c r="AF94" s="27">
        <f ca="1">COUNTBLANK(INDIRECT("H94"))</f>
        <v>1</v>
      </c>
      <c r="AG94" s="27">
        <f ca="1">COUNTBLANK(INDIRECT("B94"))</f>
        <v>1</v>
      </c>
    </row>
    <row r="95" spans="1:33" x14ac:dyDescent="0.25">
      <c r="A95" s="2">
        <v>67</v>
      </c>
      <c r="B95" s="63"/>
      <c r="C95" s="56"/>
      <c r="D95" s="56"/>
      <c r="E95" s="56"/>
      <c r="F95" s="56"/>
      <c r="G95" s="56"/>
      <c r="H95" s="56"/>
      <c r="I95" s="117" t="str">
        <f ca="1">IF(AND(INDIRECT("H95")&gt;=INDIRECT("F95"),AA95=0,AB95=0,AC95=0,AF95=0),"Yes",IF(AND(INDIRECT("H95")&lt;INDIRECT("F95"),AA95=0,AB95=0,AC95=0,AF95=0),"No","N/A"))</f>
        <v>N/A</v>
      </c>
      <c r="J95" s="176" t="str">
        <f t="shared" ca="1" si="9"/>
        <v>No Error</v>
      </c>
      <c r="K95" s="176"/>
      <c r="L95" s="176"/>
      <c r="R95" s="5"/>
      <c r="AA95" s="27">
        <f ca="1">COUNTBLANK(INDIRECT("C95"))</f>
        <v>1</v>
      </c>
      <c r="AB95" s="27">
        <f ca="1">COUNTBLANK(INDIRECT("D95"))</f>
        <v>1</v>
      </c>
      <c r="AC95" s="27">
        <f ca="1">COUNTBLANK(INDIRECT("E95"))</f>
        <v>1</v>
      </c>
      <c r="AD95" s="27">
        <f ca="1">COUNTBLANK(INDIRECT("F95"))</f>
        <v>1</v>
      </c>
      <c r="AE95" s="27">
        <f ca="1">COUNTBLANK(INDIRECT("G95"))</f>
        <v>1</v>
      </c>
      <c r="AF95" s="27">
        <f ca="1">COUNTBLANK(INDIRECT("H95"))</f>
        <v>1</v>
      </c>
      <c r="AG95" s="27">
        <f ca="1">COUNTBLANK(INDIRECT("B95"))</f>
        <v>1</v>
      </c>
    </row>
    <row r="96" spans="1:33" x14ac:dyDescent="0.25">
      <c r="A96" s="2">
        <v>68</v>
      </c>
      <c r="B96" s="63"/>
      <c r="C96" s="56"/>
      <c r="D96" s="56"/>
      <c r="E96" s="56"/>
      <c r="F96" s="56"/>
      <c r="G96" s="56"/>
      <c r="H96" s="56"/>
      <c r="I96" s="117" t="str">
        <f ca="1">IF(AND(INDIRECT("H96")&gt;=INDIRECT("F96"),AA96=0,AB96=0,AC96=0,AF96=0),"Yes",IF(AND(INDIRECT("H96")&lt;INDIRECT("F96"),AA96=0,AB96=0,AC96=0,AF96=0),"No","N/A"))</f>
        <v>N/A</v>
      </c>
      <c r="J96" s="176" t="str">
        <f t="shared" ca="1" si="9"/>
        <v>No Error</v>
      </c>
      <c r="K96" s="176"/>
      <c r="L96" s="176"/>
      <c r="R96" s="5"/>
      <c r="AA96" s="27">
        <f ca="1">COUNTBLANK(INDIRECT("C96"))</f>
        <v>1</v>
      </c>
      <c r="AB96" s="27">
        <f ca="1">COUNTBLANK(INDIRECT("D96"))</f>
        <v>1</v>
      </c>
      <c r="AC96" s="27">
        <f ca="1">COUNTBLANK(INDIRECT("E96"))</f>
        <v>1</v>
      </c>
      <c r="AD96" s="27">
        <f ca="1">COUNTBLANK(INDIRECT("F96"))</f>
        <v>1</v>
      </c>
      <c r="AE96" s="27">
        <f ca="1">COUNTBLANK(INDIRECT("G96"))</f>
        <v>1</v>
      </c>
      <c r="AF96" s="27">
        <f ca="1">COUNTBLANK(INDIRECT("H96"))</f>
        <v>1</v>
      </c>
      <c r="AG96" s="27">
        <f ca="1">COUNTBLANK(INDIRECT("B96"))</f>
        <v>1</v>
      </c>
    </row>
    <row r="97" spans="1:33" x14ac:dyDescent="0.25">
      <c r="A97" s="2">
        <v>69</v>
      </c>
      <c r="B97" s="63"/>
      <c r="C97" s="56"/>
      <c r="D97" s="56"/>
      <c r="E97" s="56"/>
      <c r="F97" s="56"/>
      <c r="G97" s="56"/>
      <c r="H97" s="56"/>
      <c r="I97" s="117" t="str">
        <f ca="1">IF(AND(INDIRECT("H97")&gt;=INDIRECT("F97"),AA97=0,AB97=0,AC97=0,AF97=0),"Yes",IF(AND(INDIRECT("H97")&lt;INDIRECT("F97"),AA97=0,AB97=0,AC97=0,AF97=0),"No","N/A"))</f>
        <v>N/A</v>
      </c>
      <c r="J97" s="176" t="str">
        <f t="shared" ca="1" si="9"/>
        <v>No Error</v>
      </c>
      <c r="K97" s="176"/>
      <c r="L97" s="176"/>
      <c r="R97" s="5"/>
      <c r="AA97" s="27">
        <f ca="1">COUNTBLANK(INDIRECT("C97"))</f>
        <v>1</v>
      </c>
      <c r="AB97" s="27">
        <f ca="1">COUNTBLANK(INDIRECT("D97"))</f>
        <v>1</v>
      </c>
      <c r="AC97" s="27">
        <f ca="1">COUNTBLANK(INDIRECT("E97"))</f>
        <v>1</v>
      </c>
      <c r="AD97" s="27">
        <f ca="1">COUNTBLANK(INDIRECT("F97"))</f>
        <v>1</v>
      </c>
      <c r="AE97" s="27">
        <f ca="1">COUNTBLANK(INDIRECT("G97"))</f>
        <v>1</v>
      </c>
      <c r="AF97" s="27">
        <f ca="1">COUNTBLANK(INDIRECT("H97"))</f>
        <v>1</v>
      </c>
      <c r="AG97" s="27">
        <f ca="1">COUNTBLANK(INDIRECT("B97"))</f>
        <v>1</v>
      </c>
    </row>
    <row r="98" spans="1:33" x14ac:dyDescent="0.25">
      <c r="A98" s="2">
        <v>70</v>
      </c>
      <c r="B98" s="63"/>
      <c r="C98" s="56"/>
      <c r="D98" s="56"/>
      <c r="E98" s="56"/>
      <c r="F98" s="56"/>
      <c r="G98" s="56"/>
      <c r="H98" s="56"/>
      <c r="I98" s="117" t="str">
        <f ca="1">IF(AND(INDIRECT("H98")&gt;=INDIRECT("F98"),AA98=0,AB98=0,AC98=0,AF98=0),"Yes",IF(AND(INDIRECT("H98")&lt;INDIRECT("F98"),AA98=0,AB98=0,AC98=0,AF98=0),"No","N/A"))</f>
        <v>N/A</v>
      </c>
      <c r="J98" s="176" t="str">
        <f t="shared" ca="1" si="9"/>
        <v>No Error</v>
      </c>
      <c r="K98" s="176"/>
      <c r="L98" s="176"/>
      <c r="R98" s="5"/>
      <c r="AA98" s="27">
        <f ca="1">COUNTBLANK(INDIRECT("C98"))</f>
        <v>1</v>
      </c>
      <c r="AB98" s="27">
        <f ca="1">COUNTBLANK(INDIRECT("D98"))</f>
        <v>1</v>
      </c>
      <c r="AC98" s="27">
        <f ca="1">COUNTBLANK(INDIRECT("E98"))</f>
        <v>1</v>
      </c>
      <c r="AD98" s="27">
        <f ca="1">COUNTBLANK(INDIRECT("F98"))</f>
        <v>1</v>
      </c>
      <c r="AE98" s="27">
        <f ca="1">COUNTBLANK(INDIRECT("G98"))</f>
        <v>1</v>
      </c>
      <c r="AF98" s="27">
        <f ca="1">COUNTBLANK(INDIRECT("H98"))</f>
        <v>1</v>
      </c>
      <c r="AG98" s="27">
        <f ca="1">COUNTBLANK(INDIRECT("B98"))</f>
        <v>1</v>
      </c>
    </row>
    <row r="99" spans="1:33" x14ac:dyDescent="0.25">
      <c r="A99" s="2">
        <v>71</v>
      </c>
      <c r="B99" s="63"/>
      <c r="C99" s="56"/>
      <c r="D99" s="56"/>
      <c r="E99" s="56"/>
      <c r="F99" s="56"/>
      <c r="G99" s="56"/>
      <c r="H99" s="56"/>
      <c r="I99" s="117" t="str">
        <f ca="1">IF(AND(INDIRECT("H99")&gt;=INDIRECT("F99"),AA99=0,AB99=0,AC99=0,AF99=0),"Yes",IF(AND(INDIRECT("H99")&lt;INDIRECT("F99"),AA99=0,AB99=0,AC99=0,AF99=0),"No","N/A"))</f>
        <v>N/A</v>
      </c>
      <c r="J99" s="176" t="str">
        <f t="shared" ca="1" si="9"/>
        <v>No Error</v>
      </c>
      <c r="K99" s="176"/>
      <c r="L99" s="176"/>
      <c r="R99" s="5"/>
      <c r="AA99" s="27">
        <f ca="1">COUNTBLANK(INDIRECT("C99"))</f>
        <v>1</v>
      </c>
      <c r="AB99" s="27">
        <f ca="1">COUNTBLANK(INDIRECT("D99"))</f>
        <v>1</v>
      </c>
      <c r="AC99" s="27">
        <f ca="1">COUNTBLANK(INDIRECT("E99"))</f>
        <v>1</v>
      </c>
      <c r="AD99" s="27">
        <f ca="1">COUNTBLANK(INDIRECT("F99"))</f>
        <v>1</v>
      </c>
      <c r="AE99" s="27">
        <f ca="1">COUNTBLANK(INDIRECT("G99"))</f>
        <v>1</v>
      </c>
      <c r="AF99" s="27">
        <f ca="1">COUNTBLANK(INDIRECT("H99"))</f>
        <v>1</v>
      </c>
      <c r="AG99" s="27">
        <f ca="1">COUNTBLANK(INDIRECT("B99"))</f>
        <v>1</v>
      </c>
    </row>
    <row r="100" spans="1:33" x14ac:dyDescent="0.25">
      <c r="A100" s="2">
        <v>72</v>
      </c>
      <c r="B100" s="63"/>
      <c r="C100" s="56"/>
      <c r="D100" s="56"/>
      <c r="E100" s="56"/>
      <c r="F100" s="56"/>
      <c r="G100" s="56"/>
      <c r="H100" s="56"/>
      <c r="I100" s="117" t="str">
        <f ca="1">IF(AND(INDIRECT("H100")&gt;=INDIRECT("F100"),AA100=0,AB100=0,AC100=0,AF100=0),"Yes",IF(AND(INDIRECT("H100")&lt;INDIRECT("F100"),AA100=0,AB100=0,AC100=0,AF100=0),"No","N/A"))</f>
        <v>N/A</v>
      </c>
      <c r="J100" s="176" t="str">
        <f t="shared" ca="1" si="9"/>
        <v>No Error</v>
      </c>
      <c r="K100" s="176"/>
      <c r="L100" s="176"/>
      <c r="R100" s="5"/>
      <c r="AA100" s="27">
        <f ca="1">COUNTBLANK(INDIRECT("C100"))</f>
        <v>1</v>
      </c>
      <c r="AB100" s="27">
        <f ca="1">COUNTBLANK(INDIRECT("D100"))</f>
        <v>1</v>
      </c>
      <c r="AC100" s="27">
        <f ca="1">COUNTBLANK(INDIRECT("E100"))</f>
        <v>1</v>
      </c>
      <c r="AD100" s="27">
        <f ca="1">COUNTBLANK(INDIRECT("F100"))</f>
        <v>1</v>
      </c>
      <c r="AE100" s="27">
        <f ca="1">COUNTBLANK(INDIRECT("G100"))</f>
        <v>1</v>
      </c>
      <c r="AF100" s="27">
        <f ca="1">COUNTBLANK(INDIRECT("H100"))</f>
        <v>1</v>
      </c>
      <c r="AG100" s="27">
        <f ca="1">COUNTBLANK(INDIRECT("B100"))</f>
        <v>1</v>
      </c>
    </row>
    <row r="101" spans="1:33" x14ac:dyDescent="0.25">
      <c r="A101" s="2">
        <v>73</v>
      </c>
      <c r="B101" s="63"/>
      <c r="C101" s="56"/>
      <c r="D101" s="56"/>
      <c r="E101" s="56"/>
      <c r="F101" s="56"/>
      <c r="G101" s="56"/>
      <c r="H101" s="56"/>
      <c r="I101" s="117" t="str">
        <f ca="1">IF(AND(INDIRECT("H101")&gt;=INDIRECT("F101"),AA101=0,AB101=0,AC101=0,AF101=0),"Yes",IF(AND(INDIRECT("H101")&lt;INDIRECT("F101"),AA101=0,AB101=0,AC101=0,AF101=0),"No","N/A"))</f>
        <v>N/A</v>
      </c>
      <c r="J101" s="176" t="str">
        <f t="shared" ca="1" si="9"/>
        <v>No Error</v>
      </c>
      <c r="K101" s="176"/>
      <c r="L101" s="176"/>
      <c r="R101" s="5"/>
      <c r="AA101" s="27">
        <f ca="1">COUNTBLANK(INDIRECT("C101"))</f>
        <v>1</v>
      </c>
      <c r="AB101" s="27">
        <f ca="1">COUNTBLANK(INDIRECT("D101"))</f>
        <v>1</v>
      </c>
      <c r="AC101" s="27">
        <f ca="1">COUNTBLANK(INDIRECT("E101"))</f>
        <v>1</v>
      </c>
      <c r="AD101" s="27">
        <f ca="1">COUNTBLANK(INDIRECT("F101"))</f>
        <v>1</v>
      </c>
      <c r="AE101" s="27">
        <f ca="1">COUNTBLANK(INDIRECT("G101"))</f>
        <v>1</v>
      </c>
      <c r="AF101" s="27">
        <f ca="1">COUNTBLANK(INDIRECT("H101"))</f>
        <v>1</v>
      </c>
      <c r="AG101" s="27">
        <f ca="1">COUNTBLANK(INDIRECT("B101"))</f>
        <v>1</v>
      </c>
    </row>
    <row r="102" spans="1:33" x14ac:dyDescent="0.25">
      <c r="A102" s="2">
        <v>74</v>
      </c>
      <c r="B102" s="63"/>
      <c r="C102" s="56"/>
      <c r="D102" s="56"/>
      <c r="E102" s="56"/>
      <c r="F102" s="56"/>
      <c r="G102" s="56"/>
      <c r="H102" s="56"/>
      <c r="I102" s="117" t="str">
        <f ca="1">IF(AND(INDIRECT("H102")&gt;=INDIRECT("F102"),AA102=0,AB102=0,AC102=0,AF102=0),"Yes",IF(AND(INDIRECT("H102")&lt;INDIRECT("F102"),AA102=0,AB102=0,AC102=0,AF102=0),"No","N/A"))</f>
        <v>N/A</v>
      </c>
      <c r="J102" s="176" t="str">
        <f t="shared" ca="1" si="9"/>
        <v>No Error</v>
      </c>
      <c r="K102" s="176"/>
      <c r="L102" s="176"/>
      <c r="R102" s="5"/>
      <c r="AA102" s="27">
        <f ca="1">COUNTBLANK(INDIRECT("C102"))</f>
        <v>1</v>
      </c>
      <c r="AB102" s="27">
        <f ca="1">COUNTBLANK(INDIRECT("D102"))</f>
        <v>1</v>
      </c>
      <c r="AC102" s="27">
        <f ca="1">COUNTBLANK(INDIRECT("E102"))</f>
        <v>1</v>
      </c>
      <c r="AD102" s="27">
        <f ca="1">COUNTBLANK(INDIRECT("F102"))</f>
        <v>1</v>
      </c>
      <c r="AE102" s="27">
        <f ca="1">COUNTBLANK(INDIRECT("G102"))</f>
        <v>1</v>
      </c>
      <c r="AF102" s="27">
        <f ca="1">COUNTBLANK(INDIRECT("H102"))</f>
        <v>1</v>
      </c>
      <c r="AG102" s="27">
        <f ca="1">COUNTBLANK(INDIRECT("B102"))</f>
        <v>1</v>
      </c>
    </row>
    <row r="103" spans="1:33" x14ac:dyDescent="0.25">
      <c r="A103" s="2">
        <v>75</v>
      </c>
      <c r="B103" s="63"/>
      <c r="C103" s="56"/>
      <c r="D103" s="56"/>
      <c r="E103" s="56"/>
      <c r="F103" s="56"/>
      <c r="G103" s="56"/>
      <c r="H103" s="56"/>
      <c r="I103" s="117" t="str">
        <f ca="1">IF(AND(INDIRECT("H103")&gt;=INDIRECT("F103"),AA103=0,AB103=0,AC103=0,AF103=0),"Yes",IF(AND(INDIRECT("H103")&lt;INDIRECT("F103"),AA103=0,AB103=0,AC103=0,AF103=0),"No","N/A"))</f>
        <v>N/A</v>
      </c>
      <c r="J103" s="176" t="str">
        <f t="shared" ca="1" si="9"/>
        <v>No Error</v>
      </c>
      <c r="K103" s="176"/>
      <c r="L103" s="176"/>
      <c r="R103" s="5"/>
      <c r="AA103" s="61">
        <f ca="1">COUNTBLANK(INDIRECT("C103"))</f>
        <v>1</v>
      </c>
      <c r="AB103" s="61">
        <f ca="1">COUNTBLANK(INDIRECT("D103"))</f>
        <v>1</v>
      </c>
      <c r="AC103" s="61">
        <f ca="1">COUNTBLANK(INDIRECT("E103"))</f>
        <v>1</v>
      </c>
      <c r="AD103" s="61">
        <f ca="1">COUNTBLANK(INDIRECT("F103"))</f>
        <v>1</v>
      </c>
      <c r="AE103" s="61">
        <f ca="1">COUNTBLANK(INDIRECT("G103"))</f>
        <v>1</v>
      </c>
      <c r="AF103" s="61">
        <f ca="1">COUNTBLANK(INDIRECT("H103"))</f>
        <v>1</v>
      </c>
      <c r="AG103" s="61">
        <f ca="1">COUNTBLANK(INDIRECT("B103"))</f>
        <v>1</v>
      </c>
    </row>
    <row r="104" spans="1:33" x14ac:dyDescent="0.25">
      <c r="A104" s="2">
        <v>76</v>
      </c>
      <c r="B104" s="63"/>
      <c r="C104" s="56"/>
      <c r="D104" s="56"/>
      <c r="E104" s="56"/>
      <c r="F104" s="56"/>
      <c r="G104" s="56"/>
      <c r="H104" s="56"/>
      <c r="I104" s="117" t="str">
        <f ca="1">IF(AND(INDIRECT("H104")&gt;=INDIRECT("F104"),AA104=0,AB104=0,AC104=0,AF104=0),"Yes",IF(AND(INDIRECT("H104")&lt;INDIRECT("F104"),AA104=0,AB104=0,AC104=0,AF104=0),"No","N/A"))</f>
        <v>N/A</v>
      </c>
      <c r="J104" s="176" t="str">
        <f t="shared" ca="1" si="9"/>
        <v>No Error</v>
      </c>
      <c r="K104" s="176"/>
      <c r="L104" s="176"/>
      <c r="R104" s="5"/>
      <c r="AA104" s="61">
        <f ca="1">COUNTBLANK(INDIRECT("C104"))</f>
        <v>1</v>
      </c>
      <c r="AB104" s="61">
        <f ca="1">COUNTBLANK(INDIRECT("D104"))</f>
        <v>1</v>
      </c>
      <c r="AC104" s="61">
        <f ca="1">COUNTBLANK(INDIRECT("E104"))</f>
        <v>1</v>
      </c>
      <c r="AD104" s="61">
        <f ca="1">COUNTBLANK(INDIRECT("F104"))</f>
        <v>1</v>
      </c>
      <c r="AE104" s="61">
        <f ca="1">COUNTBLANK(INDIRECT("G104"))</f>
        <v>1</v>
      </c>
      <c r="AF104" s="61">
        <f ca="1">COUNTBLANK(INDIRECT("H104"))</f>
        <v>1</v>
      </c>
      <c r="AG104" s="61">
        <f ca="1">COUNTBLANK(INDIRECT("B104"))</f>
        <v>1</v>
      </c>
    </row>
    <row r="105" spans="1:33" x14ac:dyDescent="0.25">
      <c r="A105" s="2">
        <v>77</v>
      </c>
      <c r="B105" s="63"/>
      <c r="C105" s="56"/>
      <c r="D105" s="56"/>
      <c r="E105" s="56"/>
      <c r="F105" s="56"/>
      <c r="G105" s="56"/>
      <c r="H105" s="56"/>
      <c r="I105" s="117" t="str">
        <f ca="1">IF(AND(INDIRECT("H105")&gt;=INDIRECT("F105"),AA105=0,AB105=0,AC105=0,AF105=0),"Yes",IF(AND(INDIRECT("H105")&lt;INDIRECT("F105"),AA105=0,AB105=0,AC105=0,AF105=0),"No","N/A"))</f>
        <v>N/A</v>
      </c>
      <c r="J105" s="176" t="str">
        <f t="shared" ca="1" si="9"/>
        <v>No Error</v>
      </c>
      <c r="K105" s="176"/>
      <c r="L105" s="176"/>
      <c r="R105" s="5"/>
      <c r="AA105" s="61">
        <f ca="1">COUNTBLANK(INDIRECT("C105"))</f>
        <v>1</v>
      </c>
      <c r="AB105" s="61">
        <f ca="1">COUNTBLANK(INDIRECT("D105"))</f>
        <v>1</v>
      </c>
      <c r="AC105" s="61">
        <f ca="1">COUNTBLANK(INDIRECT("E105"))</f>
        <v>1</v>
      </c>
      <c r="AD105" s="61">
        <f ca="1">COUNTBLANK(INDIRECT("F105"))</f>
        <v>1</v>
      </c>
      <c r="AE105" s="61">
        <f ca="1">COUNTBLANK(INDIRECT("G105"))</f>
        <v>1</v>
      </c>
      <c r="AF105" s="61">
        <f ca="1">COUNTBLANK(INDIRECT("H105"))</f>
        <v>1</v>
      </c>
      <c r="AG105" s="61">
        <f ca="1">COUNTBLANK(INDIRECT("B105"))</f>
        <v>1</v>
      </c>
    </row>
    <row r="106" spans="1:33" x14ac:dyDescent="0.25">
      <c r="A106" s="2">
        <v>78</v>
      </c>
      <c r="B106" s="63"/>
      <c r="C106" s="56"/>
      <c r="D106" s="56"/>
      <c r="E106" s="56"/>
      <c r="F106" s="56"/>
      <c r="G106" s="56"/>
      <c r="H106" s="56"/>
      <c r="I106" s="117" t="str">
        <f ca="1">IF(AND(INDIRECT("H106")&gt;=INDIRECT("F106"),AA106=0,AB106=0,AC106=0,AF106=0),"Yes",IF(AND(INDIRECT("H106")&lt;INDIRECT("F106"),AA106=0,AB106=0,AC106=0,AF106=0),"No","N/A"))</f>
        <v>N/A</v>
      </c>
      <c r="J106" s="176" t="str">
        <f t="shared" ca="1" si="9"/>
        <v>No Error</v>
      </c>
      <c r="K106" s="176"/>
      <c r="L106" s="176"/>
      <c r="R106" s="5"/>
      <c r="AA106" s="61">
        <f ca="1">COUNTBLANK(INDIRECT("C106"))</f>
        <v>1</v>
      </c>
      <c r="AB106" s="61">
        <f ca="1">COUNTBLANK(INDIRECT("D106"))</f>
        <v>1</v>
      </c>
      <c r="AC106" s="61">
        <f ca="1">COUNTBLANK(INDIRECT("E106"))</f>
        <v>1</v>
      </c>
      <c r="AD106" s="61">
        <f ca="1">COUNTBLANK(INDIRECT("F106"))</f>
        <v>1</v>
      </c>
      <c r="AE106" s="61">
        <f ca="1">COUNTBLANK(INDIRECT("G106"))</f>
        <v>1</v>
      </c>
      <c r="AF106" s="61">
        <f ca="1">COUNTBLANK(INDIRECT("H106"))</f>
        <v>1</v>
      </c>
      <c r="AG106" s="61">
        <f ca="1">COUNTBLANK(INDIRECT("B106"))</f>
        <v>1</v>
      </c>
    </row>
    <row r="107" spans="1:33" x14ac:dyDescent="0.25">
      <c r="A107" s="2">
        <v>79</v>
      </c>
      <c r="B107" s="63"/>
      <c r="C107" s="56"/>
      <c r="D107" s="56"/>
      <c r="E107" s="56"/>
      <c r="F107" s="56"/>
      <c r="G107" s="56"/>
      <c r="H107" s="56"/>
      <c r="I107" s="117" t="str">
        <f ca="1">IF(AND(INDIRECT("H107")&gt;=INDIRECT("F107"),AA107=0,AB107=0,AC107=0,AF107=0),"Yes",IF(AND(INDIRECT("H107")&lt;INDIRECT("F107"),AA107=0,AB107=0,AC107=0,AF107=0),"No","N/A"))</f>
        <v>N/A</v>
      </c>
      <c r="J107" s="176" t="str">
        <f t="shared" ca="1" si="9"/>
        <v>No Error</v>
      </c>
      <c r="K107" s="176"/>
      <c r="L107" s="176"/>
      <c r="R107" s="5"/>
      <c r="AA107" s="61">
        <f ca="1">COUNTBLANK(INDIRECT("C107"))</f>
        <v>1</v>
      </c>
      <c r="AB107" s="61">
        <f ca="1">COUNTBLANK(INDIRECT("D107"))</f>
        <v>1</v>
      </c>
      <c r="AC107" s="61">
        <f ca="1">COUNTBLANK(INDIRECT("E107"))</f>
        <v>1</v>
      </c>
      <c r="AD107" s="61">
        <f ca="1">COUNTBLANK(INDIRECT("F107"))</f>
        <v>1</v>
      </c>
      <c r="AE107" s="61">
        <f ca="1">COUNTBLANK(INDIRECT("G107"))</f>
        <v>1</v>
      </c>
      <c r="AF107" s="61">
        <f ca="1">COUNTBLANK(INDIRECT("H107"))</f>
        <v>1</v>
      </c>
      <c r="AG107" s="61">
        <f ca="1">COUNTBLANK(INDIRECT("B107"))</f>
        <v>1</v>
      </c>
    </row>
    <row r="108" spans="1:33" x14ac:dyDescent="0.25">
      <c r="A108" s="2">
        <v>80</v>
      </c>
      <c r="B108" s="63"/>
      <c r="C108" s="56"/>
      <c r="D108" s="56"/>
      <c r="E108" s="56"/>
      <c r="F108" s="56"/>
      <c r="G108" s="56"/>
      <c r="H108" s="56"/>
      <c r="I108" s="117" t="str">
        <f ca="1">IF(AND(INDIRECT("H108")&gt;=INDIRECT("F108"),AA108=0,AB108=0,AC108=0,AF108=0),"Yes",IF(AND(INDIRECT("H108")&lt;INDIRECT("F108"),AA108=0,AB108=0,AC108=0,AF108=0),"No","N/A"))</f>
        <v>N/A</v>
      </c>
      <c r="J108" s="176" t="str">
        <f t="shared" ca="1" si="9"/>
        <v>No Error</v>
      </c>
      <c r="K108" s="176"/>
      <c r="L108" s="176"/>
      <c r="R108" s="5"/>
      <c r="AA108" s="61">
        <f ca="1">COUNTBLANK(INDIRECT("C108"))</f>
        <v>1</v>
      </c>
      <c r="AB108" s="61">
        <f ca="1">COUNTBLANK(INDIRECT("D108"))</f>
        <v>1</v>
      </c>
      <c r="AC108" s="61">
        <f ca="1">COUNTBLANK(INDIRECT("E108"))</f>
        <v>1</v>
      </c>
      <c r="AD108" s="61">
        <f ca="1">COUNTBLANK(INDIRECT("F108"))</f>
        <v>1</v>
      </c>
      <c r="AE108" s="61">
        <f ca="1">COUNTBLANK(INDIRECT("G108"))</f>
        <v>1</v>
      </c>
      <c r="AF108" s="61">
        <f ca="1">COUNTBLANK(INDIRECT("H108"))</f>
        <v>1</v>
      </c>
      <c r="AG108" s="61">
        <f ca="1">COUNTBLANK(INDIRECT("B108"))</f>
        <v>1</v>
      </c>
    </row>
    <row r="109" spans="1:33" x14ac:dyDescent="0.25">
      <c r="A109" s="2">
        <v>81</v>
      </c>
      <c r="B109" s="63"/>
      <c r="C109" s="56"/>
      <c r="D109" s="56"/>
      <c r="E109" s="56"/>
      <c r="F109" s="56"/>
      <c r="G109" s="56"/>
      <c r="H109" s="56"/>
      <c r="I109" s="117" t="str">
        <f ca="1">IF(AND(INDIRECT("H109")&gt;=INDIRECT("F109"),AA109=0,AB109=0,AC109=0,AF109=0),"Yes",IF(AND(INDIRECT("H109")&lt;INDIRECT("F109"),AA109=0,AB109=0,AC109=0,AF109=0),"No","N/A"))</f>
        <v>N/A</v>
      </c>
      <c r="J109" s="176" t="str">
        <f t="shared" ca="1" si="9"/>
        <v>No Error</v>
      </c>
      <c r="K109" s="176"/>
      <c r="L109" s="176"/>
      <c r="R109" s="5"/>
      <c r="AA109" s="61">
        <f ca="1">COUNTBLANK(INDIRECT("C109"))</f>
        <v>1</v>
      </c>
      <c r="AB109" s="61">
        <f ca="1">COUNTBLANK(INDIRECT("D109"))</f>
        <v>1</v>
      </c>
      <c r="AC109" s="61">
        <f ca="1">COUNTBLANK(INDIRECT("E109"))</f>
        <v>1</v>
      </c>
      <c r="AD109" s="61">
        <f ca="1">COUNTBLANK(INDIRECT("F109"))</f>
        <v>1</v>
      </c>
      <c r="AE109" s="61">
        <f ca="1">COUNTBLANK(INDIRECT("G109"))</f>
        <v>1</v>
      </c>
      <c r="AF109" s="61">
        <f ca="1">COUNTBLANK(INDIRECT("H109"))</f>
        <v>1</v>
      </c>
      <c r="AG109" s="61">
        <f ca="1">COUNTBLANK(INDIRECT("B109"))</f>
        <v>1</v>
      </c>
    </row>
    <row r="110" spans="1:33" x14ac:dyDescent="0.25">
      <c r="A110" s="2">
        <v>82</v>
      </c>
      <c r="B110" s="63"/>
      <c r="C110" s="56"/>
      <c r="D110" s="56"/>
      <c r="E110" s="56"/>
      <c r="F110" s="56"/>
      <c r="G110" s="56"/>
      <c r="H110" s="56"/>
      <c r="I110" s="117" t="str">
        <f ca="1">IF(AND(INDIRECT("H110")&gt;=INDIRECT("F110"),AA110=0,AB110=0,AC110=0,AF110=0),"Yes",IF(AND(INDIRECT("H110")&lt;INDIRECT("F110"),AA110=0,AB110=0,AC110=0,AF110=0),"No","N/A"))</f>
        <v>N/A</v>
      </c>
      <c r="J110" s="176" t="str">
        <f t="shared" ca="1" si="9"/>
        <v>No Error</v>
      </c>
      <c r="K110" s="176"/>
      <c r="L110" s="176"/>
      <c r="R110" s="5"/>
      <c r="AA110" s="61">
        <f ca="1">COUNTBLANK(INDIRECT("C110"))</f>
        <v>1</v>
      </c>
      <c r="AB110" s="61">
        <f ca="1">COUNTBLANK(INDIRECT("D110"))</f>
        <v>1</v>
      </c>
      <c r="AC110" s="61">
        <f ca="1">COUNTBLANK(INDIRECT("E110"))</f>
        <v>1</v>
      </c>
      <c r="AD110" s="61">
        <f ca="1">COUNTBLANK(INDIRECT("F110"))</f>
        <v>1</v>
      </c>
      <c r="AE110" s="61">
        <f ca="1">COUNTBLANK(INDIRECT("G110"))</f>
        <v>1</v>
      </c>
      <c r="AF110" s="61">
        <f ca="1">COUNTBLANK(INDIRECT("H110"))</f>
        <v>1</v>
      </c>
      <c r="AG110" s="61">
        <f ca="1">COUNTBLANK(INDIRECT("B110"))</f>
        <v>1</v>
      </c>
    </row>
    <row r="111" spans="1:33" x14ac:dyDescent="0.25">
      <c r="A111" s="2">
        <v>83</v>
      </c>
      <c r="B111" s="63"/>
      <c r="C111" s="56"/>
      <c r="D111" s="56"/>
      <c r="E111" s="56"/>
      <c r="F111" s="56"/>
      <c r="G111" s="56"/>
      <c r="H111" s="56"/>
      <c r="I111" s="117" t="str">
        <f ca="1">IF(AND(INDIRECT("H111")&gt;=INDIRECT("F111"),AA111=0,AB111=0,AC111=0,AF111=0),"Yes",IF(AND(INDIRECT("H111")&lt;INDIRECT("F111"),AA111=0,AB111=0,AC111=0,AF111=0),"No","N/A"))</f>
        <v>N/A</v>
      </c>
      <c r="J111" s="176" t="str">
        <f t="shared" ca="1" si="9"/>
        <v>No Error</v>
      </c>
      <c r="K111" s="176"/>
      <c r="L111" s="176"/>
      <c r="R111" s="5"/>
      <c r="AA111" s="61">
        <f ca="1">COUNTBLANK(INDIRECT("C111"))</f>
        <v>1</v>
      </c>
      <c r="AB111" s="61">
        <f ca="1">COUNTBLANK(INDIRECT("D111"))</f>
        <v>1</v>
      </c>
      <c r="AC111" s="61">
        <f ca="1">COUNTBLANK(INDIRECT("E111"))</f>
        <v>1</v>
      </c>
      <c r="AD111" s="61">
        <f ca="1">COUNTBLANK(INDIRECT("F111"))</f>
        <v>1</v>
      </c>
      <c r="AE111" s="61">
        <f ca="1">COUNTBLANK(INDIRECT("G111"))</f>
        <v>1</v>
      </c>
      <c r="AF111" s="61">
        <f ca="1">COUNTBLANK(INDIRECT("H111"))</f>
        <v>1</v>
      </c>
      <c r="AG111" s="61">
        <f ca="1">COUNTBLANK(INDIRECT("B111"))</f>
        <v>1</v>
      </c>
    </row>
    <row r="112" spans="1:33" x14ac:dyDescent="0.25">
      <c r="A112" s="2">
        <v>84</v>
      </c>
      <c r="B112" s="63"/>
      <c r="C112" s="56"/>
      <c r="D112" s="56"/>
      <c r="E112" s="56"/>
      <c r="F112" s="56"/>
      <c r="G112" s="56"/>
      <c r="H112" s="56"/>
      <c r="I112" s="117" t="str">
        <f ca="1">IF(AND(INDIRECT("H112")&gt;=INDIRECT("F112"),AA112=0,AB112=0,AC112=0,AF112=0),"Yes",IF(AND(INDIRECT("H112")&lt;INDIRECT("F112"),AA112=0,AB112=0,AC112=0,AF112=0),"No","N/A"))</f>
        <v>N/A</v>
      </c>
      <c r="J112" s="176" t="str">
        <f t="shared" ca="1" si="9"/>
        <v>No Error</v>
      </c>
      <c r="K112" s="176"/>
      <c r="L112" s="176"/>
      <c r="R112" s="5"/>
      <c r="AA112" s="61">
        <f ca="1">COUNTBLANK(INDIRECT("C112"))</f>
        <v>1</v>
      </c>
      <c r="AB112" s="61">
        <f ca="1">COUNTBLANK(INDIRECT("D112"))</f>
        <v>1</v>
      </c>
      <c r="AC112" s="61">
        <f ca="1">COUNTBLANK(INDIRECT("E112"))</f>
        <v>1</v>
      </c>
      <c r="AD112" s="61">
        <f ca="1">COUNTBLANK(INDIRECT("F112"))</f>
        <v>1</v>
      </c>
      <c r="AE112" s="61">
        <f ca="1">COUNTBLANK(INDIRECT("G112"))</f>
        <v>1</v>
      </c>
      <c r="AF112" s="61">
        <f ca="1">COUNTBLANK(INDIRECT("H112"))</f>
        <v>1</v>
      </c>
      <c r="AG112" s="61">
        <f ca="1">COUNTBLANK(INDIRECT("B112"))</f>
        <v>1</v>
      </c>
    </row>
    <row r="113" spans="1:33" x14ac:dyDescent="0.25">
      <c r="A113" s="2">
        <v>85</v>
      </c>
      <c r="B113" s="63"/>
      <c r="C113" s="56"/>
      <c r="D113" s="56"/>
      <c r="E113" s="56"/>
      <c r="F113" s="56"/>
      <c r="G113" s="56"/>
      <c r="H113" s="56"/>
      <c r="I113" s="117" t="str">
        <f ca="1">IF(AND(INDIRECT("H113")&gt;=INDIRECT("F113"),AA113=0,AB113=0,AC113=0,AF113=0),"Yes",IF(AND(INDIRECT("H113")&lt;INDIRECT("F113"),AA113=0,AB113=0,AC113=0,AF113=0),"No","N/A"))</f>
        <v>N/A</v>
      </c>
      <c r="J113" s="176" t="str">
        <f t="shared" ca="1" si="9"/>
        <v>No Error</v>
      </c>
      <c r="K113" s="176"/>
      <c r="L113" s="176"/>
      <c r="R113" s="5"/>
      <c r="AA113" s="61">
        <f ca="1">COUNTBLANK(INDIRECT("C113"))</f>
        <v>1</v>
      </c>
      <c r="AB113" s="61">
        <f ca="1">COUNTBLANK(INDIRECT("D113"))</f>
        <v>1</v>
      </c>
      <c r="AC113" s="61">
        <f ca="1">COUNTBLANK(INDIRECT("E113"))</f>
        <v>1</v>
      </c>
      <c r="AD113" s="61">
        <f ca="1">COUNTBLANK(INDIRECT("F113"))</f>
        <v>1</v>
      </c>
      <c r="AE113" s="61">
        <f ca="1">COUNTBLANK(INDIRECT("G113"))</f>
        <v>1</v>
      </c>
      <c r="AF113" s="61">
        <f ca="1">COUNTBLANK(INDIRECT("H113"))</f>
        <v>1</v>
      </c>
      <c r="AG113" s="61">
        <f ca="1">COUNTBLANK(INDIRECT("B113"))</f>
        <v>1</v>
      </c>
    </row>
    <row r="114" spans="1:33" x14ac:dyDescent="0.25">
      <c r="A114" s="2">
        <v>86</v>
      </c>
      <c r="B114" s="63"/>
      <c r="C114" s="56"/>
      <c r="D114" s="56"/>
      <c r="E114" s="56"/>
      <c r="F114" s="56"/>
      <c r="G114" s="56"/>
      <c r="H114" s="56"/>
      <c r="I114" s="117" t="str">
        <f ca="1">IF(AND(INDIRECT("H114")&gt;=INDIRECT("F114"),AA114=0,AB114=0,AC114=0,AF114=0),"Yes",IF(AND(INDIRECT("H114")&lt;INDIRECT("F114"),AA114=0,AB114=0,AC114=0,AF114=0),"No","N/A"))</f>
        <v>N/A</v>
      </c>
      <c r="J114" s="176" t="str">
        <f t="shared" ca="1" si="9"/>
        <v>No Error</v>
      </c>
      <c r="K114" s="176"/>
      <c r="L114" s="176"/>
      <c r="R114" s="5"/>
      <c r="AA114" s="61">
        <f ca="1">COUNTBLANK(INDIRECT("C114"))</f>
        <v>1</v>
      </c>
      <c r="AB114" s="61">
        <f ca="1">COUNTBLANK(INDIRECT("D114"))</f>
        <v>1</v>
      </c>
      <c r="AC114" s="61">
        <f ca="1">COUNTBLANK(INDIRECT("E114"))</f>
        <v>1</v>
      </c>
      <c r="AD114" s="61">
        <f ca="1">COUNTBLANK(INDIRECT("F114"))</f>
        <v>1</v>
      </c>
      <c r="AE114" s="61">
        <f ca="1">COUNTBLANK(INDIRECT("G114"))</f>
        <v>1</v>
      </c>
      <c r="AF114" s="61">
        <f ca="1">COUNTBLANK(INDIRECT("H114"))</f>
        <v>1</v>
      </c>
      <c r="AG114" s="61">
        <f ca="1">COUNTBLANK(INDIRECT("B114"))</f>
        <v>1</v>
      </c>
    </row>
    <row r="115" spans="1:33" x14ac:dyDescent="0.25">
      <c r="A115" s="2">
        <v>87</v>
      </c>
      <c r="B115" s="63"/>
      <c r="C115" s="56"/>
      <c r="D115" s="56"/>
      <c r="E115" s="56"/>
      <c r="F115" s="56"/>
      <c r="G115" s="56"/>
      <c r="H115" s="56"/>
      <c r="I115" s="117" t="str">
        <f ca="1">IF(AND(INDIRECT("H115")&gt;=INDIRECT("F115"),AA115=0,AB115=0,AC115=0,AF115=0),"Yes",IF(AND(INDIRECT("H115")&lt;INDIRECT("F115"),AA115=0,AB115=0,AC115=0,AF115=0),"No","N/A"))</f>
        <v>N/A</v>
      </c>
      <c r="J115" s="176" t="str">
        <f t="shared" ca="1" si="9"/>
        <v>No Error</v>
      </c>
      <c r="K115" s="176"/>
      <c r="L115" s="176"/>
      <c r="R115" s="5"/>
      <c r="AA115" s="61">
        <f ca="1">COUNTBLANK(INDIRECT("C115"))</f>
        <v>1</v>
      </c>
      <c r="AB115" s="61">
        <f ca="1">COUNTBLANK(INDIRECT("D115"))</f>
        <v>1</v>
      </c>
      <c r="AC115" s="61">
        <f ca="1">COUNTBLANK(INDIRECT("E115"))</f>
        <v>1</v>
      </c>
      <c r="AD115" s="61">
        <f ca="1">COUNTBLANK(INDIRECT("F115"))</f>
        <v>1</v>
      </c>
      <c r="AE115" s="61">
        <f ca="1">COUNTBLANK(INDIRECT("G115"))</f>
        <v>1</v>
      </c>
      <c r="AF115" s="61">
        <f ca="1">COUNTBLANK(INDIRECT("H115"))</f>
        <v>1</v>
      </c>
      <c r="AG115" s="61">
        <f ca="1">COUNTBLANK(INDIRECT("B115"))</f>
        <v>1</v>
      </c>
    </row>
    <row r="116" spans="1:33" x14ac:dyDescent="0.25">
      <c r="A116" s="2">
        <v>88</v>
      </c>
      <c r="B116" s="63"/>
      <c r="C116" s="56"/>
      <c r="D116" s="56"/>
      <c r="E116" s="56"/>
      <c r="F116" s="56"/>
      <c r="G116" s="56"/>
      <c r="H116" s="56"/>
      <c r="I116" s="117" t="str">
        <f ca="1">IF(AND(INDIRECT("H116")&gt;=INDIRECT("F116"),AA116=0,AB116=0,AC116=0,AF116=0),"Yes",IF(AND(INDIRECT("H116")&lt;INDIRECT("F116"),AA116=0,AB116=0,AC116=0,AF116=0),"No","N/A"))</f>
        <v>N/A</v>
      </c>
      <c r="J116" s="176" t="str">
        <f t="shared" ca="1" si="9"/>
        <v>No Error</v>
      </c>
      <c r="K116" s="176"/>
      <c r="L116" s="176"/>
      <c r="R116" s="5"/>
      <c r="AA116" s="61">
        <f ca="1">COUNTBLANK(INDIRECT("C116"))</f>
        <v>1</v>
      </c>
      <c r="AB116" s="61">
        <f ca="1">COUNTBLANK(INDIRECT("D116"))</f>
        <v>1</v>
      </c>
      <c r="AC116" s="61">
        <f ca="1">COUNTBLANK(INDIRECT("E116"))</f>
        <v>1</v>
      </c>
      <c r="AD116" s="61">
        <f ca="1">COUNTBLANK(INDIRECT("F116"))</f>
        <v>1</v>
      </c>
      <c r="AE116" s="61">
        <f ca="1">COUNTBLANK(INDIRECT("G116"))</f>
        <v>1</v>
      </c>
      <c r="AF116" s="61">
        <f ca="1">COUNTBLANK(INDIRECT("H116"))</f>
        <v>1</v>
      </c>
      <c r="AG116" s="61">
        <f ca="1">COUNTBLANK(INDIRECT("B116"))</f>
        <v>1</v>
      </c>
    </row>
    <row r="117" spans="1:33" x14ac:dyDescent="0.25">
      <c r="A117" s="2">
        <v>89</v>
      </c>
      <c r="B117" s="63"/>
      <c r="C117" s="56"/>
      <c r="D117" s="56"/>
      <c r="E117" s="56"/>
      <c r="F117" s="56"/>
      <c r="G117" s="56"/>
      <c r="H117" s="56"/>
      <c r="I117" s="117" t="str">
        <f ca="1">IF(AND(INDIRECT("H117")&gt;=INDIRECT("F117"),AA117=0,AB117=0,AC117=0,AF117=0),"Yes",IF(AND(INDIRECT("H117")&lt;INDIRECT("F117"),AA117=0,AB117=0,AC117=0,AF117=0),"No","N/A"))</f>
        <v>N/A</v>
      </c>
      <c r="J117" s="176" t="str">
        <f t="shared" ca="1" si="9"/>
        <v>No Error</v>
      </c>
      <c r="K117" s="176"/>
      <c r="L117" s="176"/>
      <c r="R117" s="5"/>
      <c r="AA117" s="61">
        <f ca="1">COUNTBLANK(INDIRECT("C117"))</f>
        <v>1</v>
      </c>
      <c r="AB117" s="61">
        <f ca="1">COUNTBLANK(INDIRECT("D117"))</f>
        <v>1</v>
      </c>
      <c r="AC117" s="61">
        <f ca="1">COUNTBLANK(INDIRECT("E117"))</f>
        <v>1</v>
      </c>
      <c r="AD117" s="61">
        <f ca="1">COUNTBLANK(INDIRECT("F117"))</f>
        <v>1</v>
      </c>
      <c r="AE117" s="61">
        <f ca="1">COUNTBLANK(INDIRECT("G117"))</f>
        <v>1</v>
      </c>
      <c r="AF117" s="61">
        <f ca="1">COUNTBLANK(INDIRECT("H117"))</f>
        <v>1</v>
      </c>
      <c r="AG117" s="61">
        <f ca="1">COUNTBLANK(INDIRECT("B117"))</f>
        <v>1</v>
      </c>
    </row>
    <row r="118" spans="1:33" x14ac:dyDescent="0.25">
      <c r="A118" s="2">
        <v>90</v>
      </c>
      <c r="B118" s="63"/>
      <c r="C118" s="56"/>
      <c r="D118" s="56"/>
      <c r="E118" s="56"/>
      <c r="F118" s="56"/>
      <c r="G118" s="56"/>
      <c r="H118" s="56"/>
      <c r="I118" s="117" t="str">
        <f ca="1">IF(AND(INDIRECT("H118")&gt;=INDIRECT("F118"),AA118=0,AB118=0,AC118=0,AF118=0),"Yes",IF(AND(INDIRECT("H118")&lt;INDIRECT("F118"),AA118=0,AB118=0,AC118=0,AF118=0),"No","N/A"))</f>
        <v>N/A</v>
      </c>
      <c r="J118" s="176" t="str">
        <f t="shared" ca="1" si="9"/>
        <v>No Error</v>
      </c>
      <c r="K118" s="176"/>
      <c r="L118" s="176"/>
      <c r="R118" s="5"/>
      <c r="AA118" s="61">
        <f ca="1">COUNTBLANK(INDIRECT("C118"))</f>
        <v>1</v>
      </c>
      <c r="AB118" s="61">
        <f ca="1">COUNTBLANK(INDIRECT("D118"))</f>
        <v>1</v>
      </c>
      <c r="AC118" s="61">
        <f ca="1">COUNTBLANK(INDIRECT("E118"))</f>
        <v>1</v>
      </c>
      <c r="AD118" s="61">
        <f ca="1">COUNTBLANK(INDIRECT("F118"))</f>
        <v>1</v>
      </c>
      <c r="AE118" s="61">
        <f ca="1">COUNTBLANK(INDIRECT("G118"))</f>
        <v>1</v>
      </c>
      <c r="AF118" s="61">
        <f ca="1">COUNTBLANK(INDIRECT("H118"))</f>
        <v>1</v>
      </c>
      <c r="AG118" s="61">
        <f ca="1">COUNTBLANK(INDIRECT("B118"))</f>
        <v>1</v>
      </c>
    </row>
    <row r="119" spans="1:33" x14ac:dyDescent="0.25">
      <c r="A119" s="2">
        <v>91</v>
      </c>
      <c r="B119" s="63"/>
      <c r="C119" s="56"/>
      <c r="D119" s="56"/>
      <c r="E119" s="56"/>
      <c r="F119" s="56"/>
      <c r="G119" s="56"/>
      <c r="H119" s="56"/>
      <c r="I119" s="117" t="str">
        <f ca="1">IF(AND(INDIRECT("H119")&gt;=INDIRECT("F119"),AA119=0,AB119=0,AC119=0,AF119=0),"Yes",IF(AND(INDIRECT("H119")&lt;INDIRECT("F119"),AA119=0,AB119=0,AC119=0,AF119=0),"No","N/A"))</f>
        <v>N/A</v>
      </c>
      <c r="J119" s="176" t="str">
        <f t="shared" ca="1" si="9"/>
        <v>No Error</v>
      </c>
      <c r="K119" s="176"/>
      <c r="L119" s="176"/>
      <c r="R119" s="5"/>
      <c r="AA119" s="61">
        <f ca="1">COUNTBLANK(INDIRECT("C119"))</f>
        <v>1</v>
      </c>
      <c r="AB119" s="61">
        <f ca="1">COUNTBLANK(INDIRECT("D119"))</f>
        <v>1</v>
      </c>
      <c r="AC119" s="61">
        <f ca="1">COUNTBLANK(INDIRECT("E119"))</f>
        <v>1</v>
      </c>
      <c r="AD119" s="61">
        <f ca="1">COUNTBLANK(INDIRECT("F119"))</f>
        <v>1</v>
      </c>
      <c r="AE119" s="61">
        <f ca="1">COUNTBLANK(INDIRECT("G119"))</f>
        <v>1</v>
      </c>
      <c r="AF119" s="61">
        <f ca="1">COUNTBLANK(INDIRECT("H119"))</f>
        <v>1</v>
      </c>
      <c r="AG119" s="61">
        <f ca="1">COUNTBLANK(INDIRECT("B119"))</f>
        <v>1</v>
      </c>
    </row>
    <row r="120" spans="1:33" x14ac:dyDescent="0.25">
      <c r="A120" s="2">
        <v>92</v>
      </c>
      <c r="B120" s="63"/>
      <c r="C120" s="56"/>
      <c r="D120" s="56"/>
      <c r="E120" s="56"/>
      <c r="F120" s="56"/>
      <c r="G120" s="56"/>
      <c r="H120" s="56"/>
      <c r="I120" s="117" t="str">
        <f ca="1">IF(AND(INDIRECT("H120")&gt;=INDIRECT("F120"),AA120=0,AB120=0,AC120=0,AF120=0),"Yes",IF(AND(INDIRECT("H120")&lt;INDIRECT("F120"),AA120=0,AB120=0,AC120=0,AF120=0),"No","N/A"))</f>
        <v>N/A</v>
      </c>
      <c r="J120" s="176" t="str">
        <f t="shared" ca="1" si="9"/>
        <v>No Error</v>
      </c>
      <c r="K120" s="176"/>
      <c r="L120" s="176"/>
      <c r="R120" s="5"/>
      <c r="AA120" s="61">
        <f ca="1">COUNTBLANK(INDIRECT("C120"))</f>
        <v>1</v>
      </c>
      <c r="AB120" s="61">
        <f ca="1">COUNTBLANK(INDIRECT("D120"))</f>
        <v>1</v>
      </c>
      <c r="AC120" s="61">
        <f ca="1">COUNTBLANK(INDIRECT("E120"))</f>
        <v>1</v>
      </c>
      <c r="AD120" s="61">
        <f ca="1">COUNTBLANK(INDIRECT("F120"))</f>
        <v>1</v>
      </c>
      <c r="AE120" s="61">
        <f ca="1">COUNTBLANK(INDIRECT("G120"))</f>
        <v>1</v>
      </c>
      <c r="AF120" s="61">
        <f ca="1">COUNTBLANK(INDIRECT("H120"))</f>
        <v>1</v>
      </c>
      <c r="AG120" s="61">
        <f ca="1">COUNTBLANK(INDIRECT("B120"))</f>
        <v>1</v>
      </c>
    </row>
    <row r="121" spans="1:33" x14ac:dyDescent="0.25">
      <c r="A121" s="2">
        <v>93</v>
      </c>
      <c r="B121" s="63"/>
      <c r="C121" s="56"/>
      <c r="D121" s="56"/>
      <c r="E121" s="56"/>
      <c r="F121" s="56"/>
      <c r="G121" s="56"/>
      <c r="H121" s="56"/>
      <c r="I121" s="117" t="str">
        <f ca="1">IF(AND(INDIRECT("H121")&gt;=INDIRECT("F121"),AA121=0,AB121=0,AC121=0,AF121=0),"Yes",IF(AND(INDIRECT("H121")&lt;INDIRECT("F121"),AA121=0,AB121=0,AC121=0,AF121=0),"No","N/A"))</f>
        <v>N/A</v>
      </c>
      <c r="J121" s="176" t="str">
        <f t="shared" ca="1" si="9"/>
        <v>No Error</v>
      </c>
      <c r="K121" s="176"/>
      <c r="L121" s="176"/>
      <c r="R121" s="5"/>
      <c r="AA121" s="61">
        <f ca="1">COUNTBLANK(INDIRECT("C121"))</f>
        <v>1</v>
      </c>
      <c r="AB121" s="61">
        <f ca="1">COUNTBLANK(INDIRECT("D121"))</f>
        <v>1</v>
      </c>
      <c r="AC121" s="61">
        <f ca="1">COUNTBLANK(INDIRECT("E121"))</f>
        <v>1</v>
      </c>
      <c r="AD121" s="61">
        <f ca="1">COUNTBLANK(INDIRECT("F121"))</f>
        <v>1</v>
      </c>
      <c r="AE121" s="61">
        <f ca="1">COUNTBLANK(INDIRECT("G121"))</f>
        <v>1</v>
      </c>
      <c r="AF121" s="61">
        <f ca="1">COUNTBLANK(INDIRECT("H121"))</f>
        <v>1</v>
      </c>
      <c r="AG121" s="61">
        <f ca="1">COUNTBLANK(INDIRECT("B121"))</f>
        <v>1</v>
      </c>
    </row>
    <row r="122" spans="1:33" x14ac:dyDescent="0.25">
      <c r="A122" s="2">
        <v>94</v>
      </c>
      <c r="B122" s="63"/>
      <c r="C122" s="56"/>
      <c r="D122" s="56"/>
      <c r="E122" s="56"/>
      <c r="F122" s="56"/>
      <c r="G122" s="56"/>
      <c r="H122" s="56"/>
      <c r="I122" s="117" t="str">
        <f ca="1">IF(AND(INDIRECT("H122")&gt;=INDIRECT("F122"),AA122=0,AB122=0,AC122=0,AF122=0),"Yes",IF(AND(INDIRECT("H122")&lt;INDIRECT("F122"),AA122=0,AB122=0,AC122=0,AF122=0),"No","N/A"))</f>
        <v>N/A</v>
      </c>
      <c r="J122" s="176" t="str">
        <f t="shared" ca="1" si="9"/>
        <v>No Error</v>
      </c>
      <c r="K122" s="176"/>
      <c r="L122" s="176"/>
      <c r="R122" s="5"/>
      <c r="AA122" s="61">
        <f ca="1">COUNTBLANK(INDIRECT("C122"))</f>
        <v>1</v>
      </c>
      <c r="AB122" s="61">
        <f ca="1">COUNTBLANK(INDIRECT("D122"))</f>
        <v>1</v>
      </c>
      <c r="AC122" s="61">
        <f ca="1">COUNTBLANK(INDIRECT("E122"))</f>
        <v>1</v>
      </c>
      <c r="AD122" s="61">
        <f ca="1">COUNTBLANK(INDIRECT("F122"))</f>
        <v>1</v>
      </c>
      <c r="AE122" s="61">
        <f ca="1">COUNTBLANK(INDIRECT("G122"))</f>
        <v>1</v>
      </c>
      <c r="AF122" s="61">
        <f ca="1">COUNTBLANK(INDIRECT("H122"))</f>
        <v>1</v>
      </c>
      <c r="AG122" s="61">
        <f ca="1">COUNTBLANK(INDIRECT("B122"))</f>
        <v>1</v>
      </c>
    </row>
    <row r="123" spans="1:33" x14ac:dyDescent="0.25">
      <c r="A123" s="2">
        <v>95</v>
      </c>
      <c r="B123" s="63"/>
      <c r="C123" s="56"/>
      <c r="D123" s="56"/>
      <c r="E123" s="56"/>
      <c r="F123" s="56"/>
      <c r="G123" s="56"/>
      <c r="H123" s="56"/>
      <c r="I123" s="117" t="str">
        <f ca="1">IF(AND(INDIRECT("H123")&gt;=INDIRECT("F123"),AA123=0,AB123=0,AC123=0,AF123=0),"Yes",IF(AND(INDIRECT("H123")&lt;INDIRECT("F123"),AA123=0,AB123=0,AC123=0,AF123=0),"No","N/A"))</f>
        <v>N/A</v>
      </c>
      <c r="J123" s="176" t="str">
        <f t="shared" ca="1" si="9"/>
        <v>No Error</v>
      </c>
      <c r="K123" s="176"/>
      <c r="L123" s="176"/>
      <c r="R123" s="5"/>
      <c r="AA123" s="61">
        <f ca="1">COUNTBLANK(INDIRECT("C123"))</f>
        <v>1</v>
      </c>
      <c r="AB123" s="61">
        <f ca="1">COUNTBLANK(INDIRECT("D123"))</f>
        <v>1</v>
      </c>
      <c r="AC123" s="61">
        <f ca="1">COUNTBLANK(INDIRECT("E123"))</f>
        <v>1</v>
      </c>
      <c r="AD123" s="61">
        <f ca="1">COUNTBLANK(INDIRECT("F123"))</f>
        <v>1</v>
      </c>
      <c r="AE123" s="61">
        <f ca="1">COUNTBLANK(INDIRECT("G123"))</f>
        <v>1</v>
      </c>
      <c r="AF123" s="61">
        <f ca="1">COUNTBLANK(INDIRECT("H123"))</f>
        <v>1</v>
      </c>
      <c r="AG123" s="61">
        <f ca="1">COUNTBLANK(INDIRECT("B123"))</f>
        <v>1</v>
      </c>
    </row>
    <row r="124" spans="1:33" x14ac:dyDescent="0.25">
      <c r="A124" s="2">
        <v>96</v>
      </c>
      <c r="B124" s="63"/>
      <c r="C124" s="56"/>
      <c r="D124" s="56"/>
      <c r="E124" s="56"/>
      <c r="F124" s="56"/>
      <c r="G124" s="56"/>
      <c r="H124" s="56"/>
      <c r="I124" s="117" t="str">
        <f ca="1">IF(AND(INDIRECT("H124")&gt;=INDIRECT("F124"),AA124=0,AB124=0,AC124=0,AF124=0),"Yes",IF(AND(INDIRECT("H124")&lt;INDIRECT("F124"),AA124=0,AB124=0,AC124=0,AF124=0),"No","N/A"))</f>
        <v>N/A</v>
      </c>
      <c r="J124" s="176" t="str">
        <f t="shared" ca="1" si="9"/>
        <v>No Error</v>
      </c>
      <c r="K124" s="176"/>
      <c r="L124" s="176"/>
      <c r="R124" s="5"/>
      <c r="AA124" s="61">
        <f ca="1">COUNTBLANK(INDIRECT("C124"))</f>
        <v>1</v>
      </c>
      <c r="AB124" s="61">
        <f ca="1">COUNTBLANK(INDIRECT("D124"))</f>
        <v>1</v>
      </c>
      <c r="AC124" s="61">
        <f ca="1">COUNTBLANK(INDIRECT("E124"))</f>
        <v>1</v>
      </c>
      <c r="AD124" s="61">
        <f ca="1">COUNTBLANK(INDIRECT("F124"))</f>
        <v>1</v>
      </c>
      <c r="AE124" s="61">
        <f ca="1">COUNTBLANK(INDIRECT("G124"))</f>
        <v>1</v>
      </c>
      <c r="AF124" s="61">
        <f ca="1">COUNTBLANK(INDIRECT("H124"))</f>
        <v>1</v>
      </c>
      <c r="AG124" s="61">
        <f ca="1">COUNTBLANK(INDIRECT("B124"))</f>
        <v>1</v>
      </c>
    </row>
    <row r="125" spans="1:33" x14ac:dyDescent="0.25">
      <c r="A125" s="2">
        <v>97</v>
      </c>
      <c r="B125" s="63"/>
      <c r="C125" s="56"/>
      <c r="D125" s="56"/>
      <c r="E125" s="56"/>
      <c r="F125" s="56"/>
      <c r="G125" s="56"/>
      <c r="H125" s="56"/>
      <c r="I125" s="117" t="str">
        <f ca="1">IF(AND(INDIRECT("H125")&gt;=INDIRECT("F125"),AA125=0,AB125=0,AC125=0,AF125=0),"Yes",IF(AND(INDIRECT("H125")&lt;INDIRECT("F125"),AA125=0,AB125=0,AC125=0,AF125=0),"No","N/A"))</f>
        <v>N/A</v>
      </c>
      <c r="J125" s="176" t="str">
        <f t="shared" ca="1" si="9"/>
        <v>No Error</v>
      </c>
      <c r="K125" s="176"/>
      <c r="L125" s="176"/>
      <c r="R125" s="5"/>
      <c r="AA125" s="61">
        <f ca="1">COUNTBLANK(INDIRECT("C125"))</f>
        <v>1</v>
      </c>
      <c r="AB125" s="61">
        <f ca="1">COUNTBLANK(INDIRECT("D125"))</f>
        <v>1</v>
      </c>
      <c r="AC125" s="61">
        <f ca="1">COUNTBLANK(INDIRECT("E125"))</f>
        <v>1</v>
      </c>
      <c r="AD125" s="61">
        <f ca="1">COUNTBLANK(INDIRECT("F125"))</f>
        <v>1</v>
      </c>
      <c r="AE125" s="61">
        <f ca="1">COUNTBLANK(INDIRECT("G125"))</f>
        <v>1</v>
      </c>
      <c r="AF125" s="61">
        <f ca="1">COUNTBLANK(INDIRECT("H125"))</f>
        <v>1</v>
      </c>
      <c r="AG125" s="61">
        <f ca="1">COUNTBLANK(INDIRECT("B125"))</f>
        <v>1</v>
      </c>
    </row>
    <row r="126" spans="1:33" x14ac:dyDescent="0.25">
      <c r="A126" s="2">
        <v>98</v>
      </c>
      <c r="B126" s="63"/>
      <c r="C126" s="56"/>
      <c r="D126" s="56"/>
      <c r="E126" s="56"/>
      <c r="F126" s="56"/>
      <c r="G126" s="56"/>
      <c r="H126" s="56"/>
      <c r="I126" s="117" t="str">
        <f ca="1">IF(AND(INDIRECT("H126")&gt;=INDIRECT("F126"),AA126=0,AB126=0,AC126=0,AF126=0),"Yes",IF(AND(INDIRECT("H126")&lt;INDIRECT("F126"),AA126=0,AB126=0,AC126=0,AF126=0),"No","N/A"))</f>
        <v>N/A</v>
      </c>
      <c r="J126" s="176" t="str">
        <f t="shared" ca="1" si="9"/>
        <v>No Error</v>
      </c>
      <c r="K126" s="176"/>
      <c r="L126" s="176"/>
      <c r="R126" s="5"/>
      <c r="AA126" s="61">
        <f ca="1">COUNTBLANK(INDIRECT("C126"))</f>
        <v>1</v>
      </c>
      <c r="AB126" s="61">
        <f ca="1">COUNTBLANK(INDIRECT("D126"))</f>
        <v>1</v>
      </c>
      <c r="AC126" s="61">
        <f ca="1">COUNTBLANK(INDIRECT("E126"))</f>
        <v>1</v>
      </c>
      <c r="AD126" s="61">
        <f ca="1">COUNTBLANK(INDIRECT("F126"))</f>
        <v>1</v>
      </c>
      <c r="AE126" s="61">
        <f ca="1">COUNTBLANK(INDIRECT("G126"))</f>
        <v>1</v>
      </c>
      <c r="AF126" s="61">
        <f ca="1">COUNTBLANK(INDIRECT("H126"))</f>
        <v>1</v>
      </c>
      <c r="AG126" s="61">
        <f ca="1">COUNTBLANK(INDIRECT("B126"))</f>
        <v>1</v>
      </c>
    </row>
    <row r="127" spans="1:33" x14ac:dyDescent="0.25">
      <c r="A127" s="2">
        <v>99</v>
      </c>
      <c r="B127" s="63"/>
      <c r="C127" s="56"/>
      <c r="D127" s="56"/>
      <c r="E127" s="56"/>
      <c r="F127" s="56"/>
      <c r="G127" s="56"/>
      <c r="H127" s="56"/>
      <c r="I127" s="117" t="str">
        <f ca="1">IF(AND(INDIRECT("H127")&gt;=INDIRECT("F127"),AA127=0,AB127=0,AC127=0,AF127=0),"Yes",IF(AND(INDIRECT("H127")&lt;INDIRECT("F127"),AA127=0,AB127=0,AC127=0,AF127=0),"No","N/A"))</f>
        <v>N/A</v>
      </c>
      <c r="J127" s="176" t="str">
        <f t="shared" ca="1" si="9"/>
        <v>No Error</v>
      </c>
      <c r="K127" s="176"/>
      <c r="L127" s="176"/>
      <c r="R127" s="5"/>
      <c r="AA127" s="61">
        <f ca="1">COUNTBLANK(INDIRECT("C127"))</f>
        <v>1</v>
      </c>
      <c r="AB127" s="61">
        <f ca="1">COUNTBLANK(INDIRECT("D127"))</f>
        <v>1</v>
      </c>
      <c r="AC127" s="61">
        <f ca="1">COUNTBLANK(INDIRECT("E127"))</f>
        <v>1</v>
      </c>
      <c r="AD127" s="61">
        <f ca="1">COUNTBLANK(INDIRECT("F127"))</f>
        <v>1</v>
      </c>
      <c r="AE127" s="61">
        <f ca="1">COUNTBLANK(INDIRECT("G127"))</f>
        <v>1</v>
      </c>
      <c r="AF127" s="61">
        <f ca="1">COUNTBLANK(INDIRECT("H127"))</f>
        <v>1</v>
      </c>
      <c r="AG127" s="61">
        <f ca="1">COUNTBLANK(INDIRECT("B127"))</f>
        <v>1</v>
      </c>
    </row>
    <row r="128" spans="1:33" x14ac:dyDescent="0.25">
      <c r="A128" s="2">
        <v>100</v>
      </c>
      <c r="B128" s="63"/>
      <c r="C128" s="56"/>
      <c r="D128" s="56"/>
      <c r="E128" s="56"/>
      <c r="F128" s="56"/>
      <c r="G128" s="56"/>
      <c r="H128" s="56"/>
      <c r="I128" s="117" t="str">
        <f ca="1">IF(AND(INDIRECT("H128")&gt;=INDIRECT("F128"),AA128=0,AB128=0,AC128=0,AF128=0),"Yes",IF(AND(INDIRECT("H128")&lt;INDIRECT("F128"),AA128=0,AB128=0,AC128=0,AF128=0),"No","N/A"))</f>
        <v>N/A</v>
      </c>
      <c r="J128" s="176" t="str">
        <f t="shared" ca="1" si="9"/>
        <v>No Error</v>
      </c>
      <c r="K128" s="176"/>
      <c r="L128" s="176"/>
      <c r="R128" s="5"/>
      <c r="AA128" s="61">
        <f ca="1">COUNTBLANK(INDIRECT("C128"))</f>
        <v>1</v>
      </c>
      <c r="AB128" s="61">
        <f ca="1">COUNTBLANK(INDIRECT("D128"))</f>
        <v>1</v>
      </c>
      <c r="AC128" s="61">
        <f ca="1">COUNTBLANK(INDIRECT("E128"))</f>
        <v>1</v>
      </c>
      <c r="AD128" s="61">
        <f ca="1">COUNTBLANK(INDIRECT("F128"))</f>
        <v>1</v>
      </c>
      <c r="AE128" s="61">
        <f ca="1">COUNTBLANK(INDIRECT("G128"))</f>
        <v>1</v>
      </c>
      <c r="AF128" s="61">
        <f ca="1">COUNTBLANK(INDIRECT("H128"))</f>
        <v>1</v>
      </c>
      <c r="AG128" s="61">
        <f ca="1">COUNTBLANK(INDIRECT("B128"))</f>
        <v>1</v>
      </c>
    </row>
    <row r="129" spans="1:33" x14ac:dyDescent="0.25">
      <c r="A129" s="2">
        <v>101</v>
      </c>
      <c r="B129" s="63"/>
      <c r="C129" s="56"/>
      <c r="D129" s="56"/>
      <c r="E129" s="56"/>
      <c r="F129" s="56"/>
      <c r="G129" s="56"/>
      <c r="H129" s="56"/>
      <c r="I129" s="117" t="str">
        <f ca="1">IF(AND(INDIRECT("H129")&gt;=INDIRECT("F129"),AA129=0,AB129=0,AC129=0,AF129=0),"Yes",IF(AND(INDIRECT("H129")&lt;INDIRECT("F129"),AA129=0,AB129=0,AC129=0,AF129=0),"No","N/A"))</f>
        <v>N/A</v>
      </c>
      <c r="J129" s="176" t="str">
        <f t="shared" ca="1" si="9"/>
        <v>No Error</v>
      </c>
      <c r="K129" s="176"/>
      <c r="L129" s="176"/>
      <c r="R129" s="5"/>
      <c r="AA129" s="61">
        <f ca="1">COUNTBLANK(INDIRECT("C129"))</f>
        <v>1</v>
      </c>
      <c r="AB129" s="61">
        <f ca="1">COUNTBLANK(INDIRECT("D129"))</f>
        <v>1</v>
      </c>
      <c r="AC129" s="61">
        <f ca="1">COUNTBLANK(INDIRECT("E129"))</f>
        <v>1</v>
      </c>
      <c r="AD129" s="61">
        <f ca="1">COUNTBLANK(INDIRECT("F129"))</f>
        <v>1</v>
      </c>
      <c r="AE129" s="61">
        <f ca="1">COUNTBLANK(INDIRECT("G129"))</f>
        <v>1</v>
      </c>
      <c r="AF129" s="61">
        <f ca="1">COUNTBLANK(INDIRECT("H129"))</f>
        <v>1</v>
      </c>
      <c r="AG129" s="61">
        <f ca="1">COUNTBLANK(INDIRECT("B129"))</f>
        <v>1</v>
      </c>
    </row>
    <row r="130" spans="1:33" x14ac:dyDescent="0.25">
      <c r="A130" s="2">
        <v>102</v>
      </c>
      <c r="B130" s="63"/>
      <c r="C130" s="56"/>
      <c r="D130" s="56"/>
      <c r="E130" s="56"/>
      <c r="F130" s="56"/>
      <c r="G130" s="56"/>
      <c r="H130" s="56"/>
      <c r="I130" s="117" t="str">
        <f ca="1">IF(AND(INDIRECT("H130")&gt;=INDIRECT("F130"),AA130=0,AB130=0,AC130=0,AF130=0),"Yes",IF(AND(INDIRECT("H130")&lt;INDIRECT("F130"),AA130=0,AB130=0,AC130=0,AF130=0),"No","N/A"))</f>
        <v>N/A</v>
      </c>
      <c r="J130" s="176" t="str">
        <f t="shared" ca="1" si="9"/>
        <v>No Error</v>
      </c>
      <c r="K130" s="176"/>
      <c r="L130" s="176"/>
      <c r="R130" s="5"/>
      <c r="AA130" s="61">
        <f ca="1">COUNTBLANK(INDIRECT("C130"))</f>
        <v>1</v>
      </c>
      <c r="AB130" s="61">
        <f ca="1">COUNTBLANK(INDIRECT("D130"))</f>
        <v>1</v>
      </c>
      <c r="AC130" s="61">
        <f ca="1">COUNTBLANK(INDIRECT("E130"))</f>
        <v>1</v>
      </c>
      <c r="AD130" s="61">
        <f ca="1">COUNTBLANK(INDIRECT("F130"))</f>
        <v>1</v>
      </c>
      <c r="AE130" s="61">
        <f ca="1">COUNTBLANK(INDIRECT("G130"))</f>
        <v>1</v>
      </c>
      <c r="AF130" s="61">
        <f ca="1">COUNTBLANK(INDIRECT("H130"))</f>
        <v>1</v>
      </c>
      <c r="AG130" s="61">
        <f ca="1">COUNTBLANK(INDIRECT("B130"))</f>
        <v>1</v>
      </c>
    </row>
    <row r="131" spans="1:33" x14ac:dyDescent="0.25">
      <c r="A131" s="2">
        <v>103</v>
      </c>
      <c r="B131" s="63"/>
      <c r="C131" s="56"/>
      <c r="D131" s="56"/>
      <c r="E131" s="56"/>
      <c r="F131" s="56"/>
      <c r="G131" s="56"/>
      <c r="H131" s="56"/>
      <c r="I131" s="117" t="str">
        <f ca="1">IF(AND(INDIRECT("H131")&gt;=INDIRECT("F131"),AA131=0,AB131=0,AC131=0,AF131=0),"Yes",IF(AND(INDIRECT("H131")&lt;INDIRECT("F131"),AA131=0,AB131=0,AC131=0,AF131=0),"No","N/A"))</f>
        <v>N/A</v>
      </c>
      <c r="J131" s="176" t="str">
        <f t="shared" ca="1" si="9"/>
        <v>No Error</v>
      </c>
      <c r="K131" s="176"/>
      <c r="L131" s="176"/>
      <c r="R131" s="5"/>
      <c r="AA131" s="61">
        <f ca="1">COUNTBLANK(INDIRECT("C131"))</f>
        <v>1</v>
      </c>
      <c r="AB131" s="61">
        <f ca="1">COUNTBLANK(INDIRECT("D131"))</f>
        <v>1</v>
      </c>
      <c r="AC131" s="61">
        <f ca="1">COUNTBLANK(INDIRECT("E131"))</f>
        <v>1</v>
      </c>
      <c r="AD131" s="61">
        <f ca="1">COUNTBLANK(INDIRECT("F131"))</f>
        <v>1</v>
      </c>
      <c r="AE131" s="61">
        <f ca="1">COUNTBLANK(INDIRECT("G131"))</f>
        <v>1</v>
      </c>
      <c r="AF131" s="61">
        <f ca="1">COUNTBLANK(INDIRECT("H131"))</f>
        <v>1</v>
      </c>
      <c r="AG131" s="61">
        <f ca="1">COUNTBLANK(INDIRECT("B131"))</f>
        <v>1</v>
      </c>
    </row>
    <row r="132" spans="1:33" x14ac:dyDescent="0.25">
      <c r="A132" s="2">
        <v>104</v>
      </c>
      <c r="B132" s="63"/>
      <c r="C132" s="56"/>
      <c r="D132" s="56"/>
      <c r="E132" s="56"/>
      <c r="F132" s="56"/>
      <c r="G132" s="56"/>
      <c r="H132" s="56"/>
      <c r="I132" s="117" t="str">
        <f ca="1">IF(AND(INDIRECT("H132")&gt;=INDIRECT("F132"),AA132=0,AB132=0,AC132=0,AF132=0),"Yes",IF(AND(INDIRECT("H132")&lt;INDIRECT("F132"),AA132=0,AB132=0,AC132=0,AF132=0),"No","N/A"))</f>
        <v>N/A</v>
      </c>
      <c r="J132" s="176" t="str">
        <f t="shared" ca="1" si="9"/>
        <v>No Error</v>
      </c>
      <c r="K132" s="176"/>
      <c r="L132" s="176"/>
      <c r="R132" s="5"/>
      <c r="AA132" s="61">
        <f ca="1">COUNTBLANK(INDIRECT("C132"))</f>
        <v>1</v>
      </c>
      <c r="AB132" s="61">
        <f ca="1">COUNTBLANK(INDIRECT("D132"))</f>
        <v>1</v>
      </c>
      <c r="AC132" s="61">
        <f ca="1">COUNTBLANK(INDIRECT("E132"))</f>
        <v>1</v>
      </c>
      <c r="AD132" s="61">
        <f ca="1">COUNTBLANK(INDIRECT("F132"))</f>
        <v>1</v>
      </c>
      <c r="AE132" s="61">
        <f ca="1">COUNTBLANK(INDIRECT("G132"))</f>
        <v>1</v>
      </c>
      <c r="AF132" s="61">
        <f ca="1">COUNTBLANK(INDIRECT("H132"))</f>
        <v>1</v>
      </c>
      <c r="AG132" s="61">
        <f ca="1">COUNTBLANK(INDIRECT("B132"))</f>
        <v>1</v>
      </c>
    </row>
    <row r="133" spans="1:33" x14ac:dyDescent="0.25">
      <c r="A133" s="2">
        <v>105</v>
      </c>
      <c r="B133" s="63"/>
      <c r="C133" s="56"/>
      <c r="D133" s="56"/>
      <c r="E133" s="56"/>
      <c r="F133" s="56"/>
      <c r="G133" s="56"/>
      <c r="H133" s="56"/>
      <c r="I133" s="117" t="str">
        <f ca="1">IF(AND(INDIRECT("H133")&gt;=INDIRECT("F133"),AA133=0,AB133=0,AC133=0,AF133=0),"Yes",IF(AND(INDIRECT("H133")&lt;INDIRECT("F133"),AA133=0,AB133=0,AC133=0,AF133=0),"No","N/A"))</f>
        <v>N/A</v>
      </c>
      <c r="J133" s="176" t="str">
        <f t="shared" ca="1" si="9"/>
        <v>No Error</v>
      </c>
      <c r="K133" s="176"/>
      <c r="L133" s="176"/>
      <c r="R133" s="5"/>
      <c r="AA133" s="61">
        <f ca="1">COUNTBLANK(INDIRECT("C133"))</f>
        <v>1</v>
      </c>
      <c r="AB133" s="61">
        <f ca="1">COUNTBLANK(INDIRECT("D133"))</f>
        <v>1</v>
      </c>
      <c r="AC133" s="61">
        <f ca="1">COUNTBLANK(INDIRECT("E133"))</f>
        <v>1</v>
      </c>
      <c r="AD133" s="61">
        <f ca="1">COUNTBLANK(INDIRECT("F133"))</f>
        <v>1</v>
      </c>
      <c r="AE133" s="61">
        <f ca="1">COUNTBLANK(INDIRECT("G133"))</f>
        <v>1</v>
      </c>
      <c r="AF133" s="61">
        <f ca="1">COUNTBLANK(INDIRECT("H133"))</f>
        <v>1</v>
      </c>
      <c r="AG133" s="61">
        <f ca="1">COUNTBLANK(INDIRECT("B133"))</f>
        <v>1</v>
      </c>
    </row>
    <row r="134" spans="1:33" x14ac:dyDescent="0.25">
      <c r="A134" s="2">
        <v>106</v>
      </c>
      <c r="B134" s="63"/>
      <c r="C134" s="56"/>
      <c r="D134" s="56"/>
      <c r="E134" s="56"/>
      <c r="F134" s="56"/>
      <c r="G134" s="56"/>
      <c r="H134" s="56"/>
      <c r="I134" s="117" t="str">
        <f ca="1">IF(AND(INDIRECT("H134")&gt;=INDIRECT("F134"),AA134=0,AB134=0,AC134=0,AF134=0),"Yes",IF(AND(INDIRECT("H134")&lt;INDIRECT("F134"),AA134=0,AB134=0,AC134=0,AF134=0),"No","N/A"))</f>
        <v>N/A</v>
      </c>
      <c r="J134" s="176" t="str">
        <f t="shared" ca="1" si="9"/>
        <v>No Error</v>
      </c>
      <c r="K134" s="176"/>
      <c r="L134" s="176"/>
      <c r="R134" s="5"/>
      <c r="AA134" s="61">
        <f ca="1">COUNTBLANK(INDIRECT("C134"))</f>
        <v>1</v>
      </c>
      <c r="AB134" s="61">
        <f ca="1">COUNTBLANK(INDIRECT("D134"))</f>
        <v>1</v>
      </c>
      <c r="AC134" s="61">
        <f ca="1">COUNTBLANK(INDIRECT("E134"))</f>
        <v>1</v>
      </c>
      <c r="AD134" s="61">
        <f ca="1">COUNTBLANK(INDIRECT("F134"))</f>
        <v>1</v>
      </c>
      <c r="AE134" s="61">
        <f ca="1">COUNTBLANK(INDIRECT("G134"))</f>
        <v>1</v>
      </c>
      <c r="AF134" s="61">
        <f ca="1">COUNTBLANK(INDIRECT("H134"))</f>
        <v>1</v>
      </c>
      <c r="AG134" s="61">
        <f ca="1">COUNTBLANK(INDIRECT("B134"))</f>
        <v>1</v>
      </c>
    </row>
    <row r="135" spans="1:33" x14ac:dyDescent="0.25">
      <c r="A135" s="2">
        <v>107</v>
      </c>
      <c r="B135" s="63"/>
      <c r="C135" s="56"/>
      <c r="D135" s="56"/>
      <c r="E135" s="56"/>
      <c r="F135" s="56"/>
      <c r="G135" s="56"/>
      <c r="H135" s="56"/>
      <c r="I135" s="117" t="str">
        <f ca="1">IF(AND(INDIRECT("H135")&gt;=INDIRECT("F135"),AA135=0,AB135=0,AC135=0,AF135=0),"Yes",IF(AND(INDIRECT("H135")&lt;INDIRECT("F135"),AA135=0,AB135=0,AC135=0,AF135=0),"No","N/A"))</f>
        <v>N/A</v>
      </c>
      <c r="J135" s="176" t="str">
        <f t="shared" ca="1" si="9"/>
        <v>No Error</v>
      </c>
      <c r="K135" s="176"/>
      <c r="L135" s="176"/>
      <c r="R135" s="5"/>
      <c r="AA135" s="61">
        <f ca="1">COUNTBLANK(INDIRECT("C135"))</f>
        <v>1</v>
      </c>
      <c r="AB135" s="61">
        <f ca="1">COUNTBLANK(INDIRECT("D135"))</f>
        <v>1</v>
      </c>
      <c r="AC135" s="61">
        <f ca="1">COUNTBLANK(INDIRECT("E135"))</f>
        <v>1</v>
      </c>
      <c r="AD135" s="61">
        <f ca="1">COUNTBLANK(INDIRECT("F135"))</f>
        <v>1</v>
      </c>
      <c r="AE135" s="61">
        <f ca="1">COUNTBLANK(INDIRECT("G135"))</f>
        <v>1</v>
      </c>
      <c r="AF135" s="61">
        <f ca="1">COUNTBLANK(INDIRECT("H135"))</f>
        <v>1</v>
      </c>
      <c r="AG135" s="61">
        <f ca="1">COUNTBLANK(INDIRECT("B135"))</f>
        <v>1</v>
      </c>
    </row>
    <row r="136" spans="1:33" x14ac:dyDescent="0.25">
      <c r="A136" s="2">
        <v>108</v>
      </c>
      <c r="B136" s="63"/>
      <c r="C136" s="56"/>
      <c r="D136" s="56"/>
      <c r="E136" s="56"/>
      <c r="F136" s="56"/>
      <c r="G136" s="56"/>
      <c r="H136" s="56"/>
      <c r="I136" s="117" t="str">
        <f ca="1">IF(AND(INDIRECT("H136")&gt;=INDIRECT("F136"),AA136=0,AB136=0,AC136=0,AF136=0),"Yes",IF(AND(INDIRECT("H136")&lt;INDIRECT("F136"),AA136=0,AB136=0,AC136=0,AF136=0),"No","N/A"))</f>
        <v>N/A</v>
      </c>
      <c r="J136" s="176" t="str">
        <f t="shared" ca="1" si="9"/>
        <v>No Error</v>
      </c>
      <c r="K136" s="176"/>
      <c r="L136" s="176"/>
      <c r="R136" s="5"/>
      <c r="AA136" s="61">
        <f ca="1">COUNTBLANK(INDIRECT("C136"))</f>
        <v>1</v>
      </c>
      <c r="AB136" s="61">
        <f ca="1">COUNTBLANK(INDIRECT("D136"))</f>
        <v>1</v>
      </c>
      <c r="AC136" s="61">
        <f ca="1">COUNTBLANK(INDIRECT("E136"))</f>
        <v>1</v>
      </c>
      <c r="AD136" s="61">
        <f ca="1">COUNTBLANK(INDIRECT("F136"))</f>
        <v>1</v>
      </c>
      <c r="AE136" s="61">
        <f ca="1">COUNTBLANK(INDIRECT("G136"))</f>
        <v>1</v>
      </c>
      <c r="AF136" s="61">
        <f ca="1">COUNTBLANK(INDIRECT("H136"))</f>
        <v>1</v>
      </c>
      <c r="AG136" s="61">
        <f ca="1">COUNTBLANK(INDIRECT("B136"))</f>
        <v>1</v>
      </c>
    </row>
    <row r="137" spans="1:33" x14ac:dyDescent="0.25">
      <c r="A137" s="2">
        <v>109</v>
      </c>
      <c r="B137" s="63"/>
      <c r="C137" s="56"/>
      <c r="D137" s="56"/>
      <c r="E137" s="56"/>
      <c r="F137" s="56"/>
      <c r="G137" s="56"/>
      <c r="H137" s="56"/>
      <c r="I137" s="117" t="str">
        <f ca="1">IF(AND(INDIRECT("H137")&gt;=INDIRECT("F137"),AA137=0,AB137=0,AC137=0,AF137=0),"Yes",IF(AND(INDIRECT("H137")&lt;INDIRECT("F137"),AA137=0,AB137=0,AC137=0,AF137=0),"No","N/A"))</f>
        <v>N/A</v>
      </c>
      <c r="J137" s="176" t="str">
        <f t="shared" ca="1" si="9"/>
        <v>No Error</v>
      </c>
      <c r="K137" s="176"/>
      <c r="L137" s="176"/>
      <c r="R137" s="5"/>
      <c r="AA137" s="61">
        <f ca="1">COUNTBLANK(INDIRECT("C137"))</f>
        <v>1</v>
      </c>
      <c r="AB137" s="61">
        <f ca="1">COUNTBLANK(INDIRECT("D137"))</f>
        <v>1</v>
      </c>
      <c r="AC137" s="61">
        <f ca="1">COUNTBLANK(INDIRECT("E137"))</f>
        <v>1</v>
      </c>
      <c r="AD137" s="61">
        <f ca="1">COUNTBLANK(INDIRECT("F137"))</f>
        <v>1</v>
      </c>
      <c r="AE137" s="61">
        <f ca="1">COUNTBLANK(INDIRECT("G137"))</f>
        <v>1</v>
      </c>
      <c r="AF137" s="61">
        <f ca="1">COUNTBLANK(INDIRECT("H137"))</f>
        <v>1</v>
      </c>
      <c r="AG137" s="61">
        <f ca="1">COUNTBLANK(INDIRECT("B137"))</f>
        <v>1</v>
      </c>
    </row>
    <row r="138" spans="1:33" x14ac:dyDescent="0.25">
      <c r="A138" s="2">
        <v>110</v>
      </c>
      <c r="B138" s="63"/>
      <c r="C138" s="56"/>
      <c r="D138" s="56"/>
      <c r="E138" s="56"/>
      <c r="F138" s="56"/>
      <c r="G138" s="56"/>
      <c r="H138" s="56"/>
      <c r="I138" s="117" t="str">
        <f ca="1">IF(AND(INDIRECT("H138")&gt;=INDIRECT("F138"),AA138=0,AB138=0,AC138=0,AF138=0),"Yes",IF(AND(INDIRECT("H138")&lt;INDIRECT("F138"),AA138=0,AB138=0,AC138=0,AF138=0),"No","N/A"))</f>
        <v>N/A</v>
      </c>
      <c r="J138" s="176" t="str">
        <f t="shared" ca="1" si="9"/>
        <v>No Error</v>
      </c>
      <c r="K138" s="176"/>
      <c r="L138" s="176"/>
      <c r="R138" s="5"/>
      <c r="AA138" s="61">
        <f ca="1">COUNTBLANK(INDIRECT("C138"))</f>
        <v>1</v>
      </c>
      <c r="AB138" s="61">
        <f ca="1">COUNTBLANK(INDIRECT("D138"))</f>
        <v>1</v>
      </c>
      <c r="AC138" s="61">
        <f ca="1">COUNTBLANK(INDIRECT("E138"))</f>
        <v>1</v>
      </c>
      <c r="AD138" s="61">
        <f ca="1">COUNTBLANK(INDIRECT("F138"))</f>
        <v>1</v>
      </c>
      <c r="AE138" s="61">
        <f ca="1">COUNTBLANK(INDIRECT("G138"))</f>
        <v>1</v>
      </c>
      <c r="AF138" s="61">
        <f ca="1">COUNTBLANK(INDIRECT("H138"))</f>
        <v>1</v>
      </c>
      <c r="AG138" s="61">
        <f ca="1">COUNTBLANK(INDIRECT("B138"))</f>
        <v>1</v>
      </c>
    </row>
    <row r="139" spans="1:33" x14ac:dyDescent="0.25">
      <c r="A139" s="2">
        <v>111</v>
      </c>
      <c r="B139" s="63"/>
      <c r="C139" s="56"/>
      <c r="D139" s="56"/>
      <c r="E139" s="56"/>
      <c r="F139" s="56"/>
      <c r="G139" s="56"/>
      <c r="H139" s="56"/>
      <c r="I139" s="117" t="str">
        <f ca="1">IF(AND(INDIRECT("H139")&gt;=INDIRECT("F139"),AA139=0,AB139=0,AC139=0,AF139=0),"Yes",IF(AND(INDIRECT("H139")&lt;INDIRECT("F139"),AA139=0,AB139=0,AC139=0,AF139=0),"No","N/A"))</f>
        <v>N/A</v>
      </c>
      <c r="J139" s="176" t="str">
        <f t="shared" ca="1" si="9"/>
        <v>No Error</v>
      </c>
      <c r="K139" s="176"/>
      <c r="L139" s="176"/>
      <c r="R139" s="5"/>
      <c r="AA139" s="61">
        <f ca="1">COUNTBLANK(INDIRECT("C139"))</f>
        <v>1</v>
      </c>
      <c r="AB139" s="61">
        <f ca="1">COUNTBLANK(INDIRECT("D139"))</f>
        <v>1</v>
      </c>
      <c r="AC139" s="61">
        <f ca="1">COUNTBLANK(INDIRECT("E139"))</f>
        <v>1</v>
      </c>
      <c r="AD139" s="61">
        <f ca="1">COUNTBLANK(INDIRECT("F139"))</f>
        <v>1</v>
      </c>
      <c r="AE139" s="61">
        <f ca="1">COUNTBLANK(INDIRECT("G139"))</f>
        <v>1</v>
      </c>
      <c r="AF139" s="61">
        <f ca="1">COUNTBLANK(INDIRECT("H139"))</f>
        <v>1</v>
      </c>
      <c r="AG139" s="61">
        <f ca="1">COUNTBLANK(INDIRECT("B139"))</f>
        <v>1</v>
      </c>
    </row>
    <row r="140" spans="1:33" x14ac:dyDescent="0.25">
      <c r="A140" s="2">
        <v>112</v>
      </c>
      <c r="B140" s="63"/>
      <c r="C140" s="56"/>
      <c r="D140" s="56"/>
      <c r="E140" s="56"/>
      <c r="F140" s="56"/>
      <c r="G140" s="56"/>
      <c r="H140" s="56"/>
      <c r="I140" s="117" t="str">
        <f ca="1">IF(AND(INDIRECT("H140")&gt;=INDIRECT("F140"),AA140=0,AB140=0,AC140=0,AF140=0),"Yes",IF(AND(INDIRECT("H140")&lt;INDIRECT("F140"),AA140=0,AB140=0,AC140=0,AF140=0),"No","N/A"))</f>
        <v>N/A</v>
      </c>
      <c r="J140" s="176" t="str">
        <f t="shared" ca="1" si="9"/>
        <v>No Error</v>
      </c>
      <c r="K140" s="176"/>
      <c r="L140" s="176"/>
      <c r="R140" s="5"/>
      <c r="AA140" s="61">
        <f ca="1">COUNTBLANK(INDIRECT("C140"))</f>
        <v>1</v>
      </c>
      <c r="AB140" s="61">
        <f ca="1">COUNTBLANK(INDIRECT("D140"))</f>
        <v>1</v>
      </c>
      <c r="AC140" s="61">
        <f ca="1">COUNTBLANK(INDIRECT("E140"))</f>
        <v>1</v>
      </c>
      <c r="AD140" s="61">
        <f ca="1">COUNTBLANK(INDIRECT("F140"))</f>
        <v>1</v>
      </c>
      <c r="AE140" s="61">
        <f ca="1">COUNTBLANK(INDIRECT("G140"))</f>
        <v>1</v>
      </c>
      <c r="AF140" s="61">
        <f ca="1">COUNTBLANK(INDIRECT("H140"))</f>
        <v>1</v>
      </c>
      <c r="AG140" s="61">
        <f ca="1">COUNTBLANK(INDIRECT("B140"))</f>
        <v>1</v>
      </c>
    </row>
    <row r="141" spans="1:33" x14ac:dyDescent="0.25">
      <c r="A141" s="2">
        <v>113</v>
      </c>
      <c r="B141" s="63"/>
      <c r="C141" s="56"/>
      <c r="D141" s="56"/>
      <c r="E141" s="56"/>
      <c r="F141" s="56"/>
      <c r="G141" s="56"/>
      <c r="H141" s="56"/>
      <c r="I141" s="117" t="str">
        <f ca="1">IF(AND(INDIRECT("H141")&gt;=INDIRECT("F141"),AA141=0,AB141=0,AC141=0,AF141=0),"Yes",IF(AND(INDIRECT("H141")&lt;INDIRECT("F141"),AA141=0,AB141=0,AC141=0,AF141=0),"No","N/A"))</f>
        <v>N/A</v>
      </c>
      <c r="J141" s="176" t="str">
        <f t="shared" ca="1" si="9"/>
        <v>No Error</v>
      </c>
      <c r="K141" s="176"/>
      <c r="L141" s="176"/>
      <c r="R141" s="5"/>
      <c r="AA141" s="61">
        <f ca="1">COUNTBLANK(INDIRECT("C141"))</f>
        <v>1</v>
      </c>
      <c r="AB141" s="61">
        <f ca="1">COUNTBLANK(INDIRECT("D141"))</f>
        <v>1</v>
      </c>
      <c r="AC141" s="61">
        <f ca="1">COUNTBLANK(INDIRECT("E141"))</f>
        <v>1</v>
      </c>
      <c r="AD141" s="61">
        <f ca="1">COUNTBLANK(INDIRECT("F141"))</f>
        <v>1</v>
      </c>
      <c r="AE141" s="61">
        <f ca="1">COUNTBLANK(INDIRECT("G141"))</f>
        <v>1</v>
      </c>
      <c r="AF141" s="61">
        <f ca="1">COUNTBLANK(INDIRECT("H141"))</f>
        <v>1</v>
      </c>
      <c r="AG141" s="61">
        <f ca="1">COUNTBLANK(INDIRECT("B141"))</f>
        <v>1</v>
      </c>
    </row>
    <row r="142" spans="1:33" x14ac:dyDescent="0.25">
      <c r="A142" s="2">
        <v>114</v>
      </c>
      <c r="B142" s="63"/>
      <c r="C142" s="56"/>
      <c r="D142" s="56"/>
      <c r="E142" s="56"/>
      <c r="F142" s="56"/>
      <c r="G142" s="56"/>
      <c r="H142" s="56"/>
      <c r="I142" s="117" t="str">
        <f ca="1">IF(AND(INDIRECT("H142")&gt;=INDIRECT("F142"),AA142=0,AB142=0,AC142=0,AF142=0),"Yes",IF(AND(INDIRECT("H142")&lt;INDIRECT("F142"),AA142=0,AB142=0,AC142=0,AF142=0),"No","N/A"))</f>
        <v>N/A</v>
      </c>
      <c r="J142" s="176" t="str">
        <f t="shared" ca="1" si="9"/>
        <v>No Error</v>
      </c>
      <c r="K142" s="176"/>
      <c r="L142" s="176"/>
      <c r="R142" s="5"/>
      <c r="AA142" s="61">
        <f ca="1">COUNTBLANK(INDIRECT("C142"))</f>
        <v>1</v>
      </c>
      <c r="AB142" s="61">
        <f ca="1">COUNTBLANK(INDIRECT("D142"))</f>
        <v>1</v>
      </c>
      <c r="AC142" s="61">
        <f ca="1">COUNTBLANK(INDIRECT("E142"))</f>
        <v>1</v>
      </c>
      <c r="AD142" s="61">
        <f ca="1">COUNTBLANK(INDIRECT("F142"))</f>
        <v>1</v>
      </c>
      <c r="AE142" s="61">
        <f ca="1">COUNTBLANK(INDIRECT("G142"))</f>
        <v>1</v>
      </c>
      <c r="AF142" s="61">
        <f ca="1">COUNTBLANK(INDIRECT("H142"))</f>
        <v>1</v>
      </c>
      <c r="AG142" s="61">
        <f ca="1">COUNTBLANK(INDIRECT("B142"))</f>
        <v>1</v>
      </c>
    </row>
    <row r="143" spans="1:33" x14ac:dyDescent="0.25">
      <c r="A143" s="2">
        <v>115</v>
      </c>
      <c r="B143" s="63"/>
      <c r="C143" s="56"/>
      <c r="D143" s="56"/>
      <c r="E143" s="56"/>
      <c r="F143" s="56"/>
      <c r="G143" s="56"/>
      <c r="H143" s="56"/>
      <c r="I143" s="117" t="str">
        <f ca="1">IF(AND(INDIRECT("H143")&gt;=INDIRECT("F143"),AA143=0,AB143=0,AC143=0,AF143=0),"Yes",IF(AND(INDIRECT("H143")&lt;INDIRECT("F143"),AA143=0,AB143=0,AC143=0,AF143=0),"No","N/A"))</f>
        <v>N/A</v>
      </c>
      <c r="J143" s="176" t="str">
        <f t="shared" ca="1" si="9"/>
        <v>No Error</v>
      </c>
      <c r="K143" s="176"/>
      <c r="L143" s="176"/>
      <c r="R143" s="5"/>
      <c r="AA143" s="61">
        <f ca="1">COUNTBLANK(INDIRECT("C143"))</f>
        <v>1</v>
      </c>
      <c r="AB143" s="61">
        <f ca="1">COUNTBLANK(INDIRECT("D143"))</f>
        <v>1</v>
      </c>
      <c r="AC143" s="61">
        <f ca="1">COUNTBLANK(INDIRECT("E143"))</f>
        <v>1</v>
      </c>
      <c r="AD143" s="61">
        <f ca="1">COUNTBLANK(INDIRECT("F143"))</f>
        <v>1</v>
      </c>
      <c r="AE143" s="61">
        <f ca="1">COUNTBLANK(INDIRECT("G143"))</f>
        <v>1</v>
      </c>
      <c r="AF143" s="61">
        <f ca="1">COUNTBLANK(INDIRECT("H143"))</f>
        <v>1</v>
      </c>
      <c r="AG143" s="61">
        <f ca="1">COUNTBLANK(INDIRECT("B143"))</f>
        <v>1</v>
      </c>
    </row>
    <row r="144" spans="1:33" x14ac:dyDescent="0.25">
      <c r="A144" s="2">
        <v>116</v>
      </c>
      <c r="B144" s="63"/>
      <c r="C144" s="56"/>
      <c r="D144" s="56"/>
      <c r="E144" s="56"/>
      <c r="F144" s="56"/>
      <c r="G144" s="56"/>
      <c r="H144" s="56"/>
      <c r="I144" s="117" t="str">
        <f ca="1">IF(AND(INDIRECT("H144")&gt;=INDIRECT("F144"),AA144=0,AB144=0,AC144=0,AF144=0),"Yes",IF(AND(INDIRECT("H144")&lt;INDIRECT("F144"),AA144=0,AB144=0,AC144=0,AF144=0),"No","N/A"))</f>
        <v>N/A</v>
      </c>
      <c r="J144" s="176" t="str">
        <f t="shared" ca="1" si="9"/>
        <v>No Error</v>
      </c>
      <c r="K144" s="176"/>
      <c r="L144" s="176"/>
      <c r="R144" s="5"/>
      <c r="AA144" s="61">
        <f ca="1">COUNTBLANK(INDIRECT("C144"))</f>
        <v>1</v>
      </c>
      <c r="AB144" s="61">
        <f ca="1">COUNTBLANK(INDIRECT("D144"))</f>
        <v>1</v>
      </c>
      <c r="AC144" s="61">
        <f ca="1">COUNTBLANK(INDIRECT("E144"))</f>
        <v>1</v>
      </c>
      <c r="AD144" s="61">
        <f ca="1">COUNTBLANK(INDIRECT("F144"))</f>
        <v>1</v>
      </c>
      <c r="AE144" s="61">
        <f ca="1">COUNTBLANK(INDIRECT("G144"))</f>
        <v>1</v>
      </c>
      <c r="AF144" s="61">
        <f ca="1">COUNTBLANK(INDIRECT("H144"))</f>
        <v>1</v>
      </c>
      <c r="AG144" s="61">
        <f ca="1">COUNTBLANK(INDIRECT("B144"))</f>
        <v>1</v>
      </c>
    </row>
    <row r="145" spans="1:33" x14ac:dyDescent="0.25">
      <c r="A145" s="2">
        <v>117</v>
      </c>
      <c r="B145" s="63"/>
      <c r="C145" s="56"/>
      <c r="D145" s="56"/>
      <c r="E145" s="56"/>
      <c r="F145" s="56"/>
      <c r="G145" s="56"/>
      <c r="H145" s="56"/>
      <c r="I145" s="117" t="str">
        <f ca="1">IF(AND(INDIRECT("H145")&gt;=INDIRECT("F145"),AA145=0,AB145=0,AC145=0,AF145=0),"Yes",IF(AND(INDIRECT("H145")&lt;INDIRECT("F145"),AA145=0,AB145=0,AC145=0,AF145=0),"No","N/A"))</f>
        <v>N/A</v>
      </c>
      <c r="J145" s="176" t="str">
        <f t="shared" ca="1" si="9"/>
        <v>No Error</v>
      </c>
      <c r="K145" s="176"/>
      <c r="L145" s="176"/>
      <c r="R145" s="5"/>
      <c r="AA145" s="61">
        <f ca="1">COUNTBLANK(INDIRECT("C145"))</f>
        <v>1</v>
      </c>
      <c r="AB145" s="61">
        <f ca="1">COUNTBLANK(INDIRECT("D145"))</f>
        <v>1</v>
      </c>
      <c r="AC145" s="61">
        <f ca="1">COUNTBLANK(INDIRECT("E145"))</f>
        <v>1</v>
      </c>
      <c r="AD145" s="61">
        <f ca="1">COUNTBLANK(INDIRECT("F145"))</f>
        <v>1</v>
      </c>
      <c r="AE145" s="61">
        <f ca="1">COUNTBLANK(INDIRECT("G145"))</f>
        <v>1</v>
      </c>
      <c r="AF145" s="61">
        <f ca="1">COUNTBLANK(INDIRECT("H145"))</f>
        <v>1</v>
      </c>
      <c r="AG145" s="61">
        <f ca="1">COUNTBLANK(INDIRECT("B145"))</f>
        <v>1</v>
      </c>
    </row>
    <row r="146" spans="1:33" x14ac:dyDescent="0.25">
      <c r="A146" s="2">
        <v>118</v>
      </c>
      <c r="B146" s="63"/>
      <c r="C146" s="56"/>
      <c r="D146" s="56"/>
      <c r="E146" s="56"/>
      <c r="F146" s="56"/>
      <c r="G146" s="56"/>
      <c r="H146" s="56"/>
      <c r="I146" s="117" t="str">
        <f ca="1">IF(AND(INDIRECT("H146")&gt;=INDIRECT("F146"),AA146=0,AB146=0,AC146=0,AF146=0),"Yes",IF(AND(INDIRECT("H146")&lt;INDIRECT("F146"),AA146=0,AB146=0,AC146=0,AF146=0),"No","N/A"))</f>
        <v>N/A</v>
      </c>
      <c r="J146" s="176" t="str">
        <f t="shared" ca="1" si="9"/>
        <v>No Error</v>
      </c>
      <c r="K146" s="176"/>
      <c r="L146" s="176"/>
      <c r="R146" s="5"/>
      <c r="AA146" s="61">
        <f ca="1">COUNTBLANK(INDIRECT("C146"))</f>
        <v>1</v>
      </c>
      <c r="AB146" s="61">
        <f ca="1">COUNTBLANK(INDIRECT("D146"))</f>
        <v>1</v>
      </c>
      <c r="AC146" s="61">
        <f ca="1">COUNTBLANK(INDIRECT("E146"))</f>
        <v>1</v>
      </c>
      <c r="AD146" s="61">
        <f ca="1">COUNTBLANK(INDIRECT("F146"))</f>
        <v>1</v>
      </c>
      <c r="AE146" s="61">
        <f ca="1">COUNTBLANK(INDIRECT("G146"))</f>
        <v>1</v>
      </c>
      <c r="AF146" s="61">
        <f ca="1">COUNTBLANK(INDIRECT("H146"))</f>
        <v>1</v>
      </c>
      <c r="AG146" s="61">
        <f ca="1">COUNTBLANK(INDIRECT("B146"))</f>
        <v>1</v>
      </c>
    </row>
    <row r="147" spans="1:33" x14ac:dyDescent="0.25">
      <c r="A147" s="2">
        <v>119</v>
      </c>
      <c r="B147" s="63"/>
      <c r="C147" s="56"/>
      <c r="D147" s="56"/>
      <c r="E147" s="56"/>
      <c r="F147" s="56"/>
      <c r="G147" s="56"/>
      <c r="H147" s="56"/>
      <c r="I147" s="117" t="str">
        <f ca="1">IF(AND(INDIRECT("H147")&gt;=INDIRECT("F147"),AA147=0,AB147=0,AC147=0,AF147=0),"Yes",IF(AND(INDIRECT("H147")&lt;INDIRECT("F147"),AA147=0,AB147=0,AC147=0,AF147=0),"No","N/A"))</f>
        <v>N/A</v>
      </c>
      <c r="J147" s="176" t="str">
        <f t="shared" ca="1" si="9"/>
        <v>No Error</v>
      </c>
      <c r="K147" s="176"/>
      <c r="L147" s="176"/>
      <c r="R147" s="5"/>
      <c r="AA147" s="61">
        <f ca="1">COUNTBLANK(INDIRECT("C147"))</f>
        <v>1</v>
      </c>
      <c r="AB147" s="61">
        <f ca="1">COUNTBLANK(INDIRECT("D147"))</f>
        <v>1</v>
      </c>
      <c r="AC147" s="61">
        <f ca="1">COUNTBLANK(INDIRECT("E147"))</f>
        <v>1</v>
      </c>
      <c r="AD147" s="61">
        <f ca="1">COUNTBLANK(INDIRECT("F147"))</f>
        <v>1</v>
      </c>
      <c r="AE147" s="61">
        <f ca="1">COUNTBLANK(INDIRECT("G147"))</f>
        <v>1</v>
      </c>
      <c r="AF147" s="61">
        <f ca="1">COUNTBLANK(INDIRECT("H147"))</f>
        <v>1</v>
      </c>
      <c r="AG147" s="61">
        <f ca="1">COUNTBLANK(INDIRECT("B147"))</f>
        <v>1</v>
      </c>
    </row>
    <row r="148" spans="1:33" x14ac:dyDescent="0.25">
      <c r="A148" s="2">
        <v>120</v>
      </c>
      <c r="B148" s="63"/>
      <c r="C148" s="56"/>
      <c r="D148" s="56"/>
      <c r="E148" s="56"/>
      <c r="F148" s="56"/>
      <c r="G148" s="56"/>
      <c r="H148" s="56"/>
      <c r="I148" s="117" t="str">
        <f ca="1">IF(AND(INDIRECT("H148")&gt;=INDIRECT("F148"),AA148=0,AB148=0,AC148=0,AF148=0),"Yes",IF(AND(INDIRECT("H148")&lt;INDIRECT("F148"),AA148=0,AB148=0,AC148=0,AF148=0),"No","N/A"))</f>
        <v>N/A</v>
      </c>
      <c r="J148" s="176" t="str">
        <f t="shared" ca="1" si="9"/>
        <v>No Error</v>
      </c>
      <c r="K148" s="176"/>
      <c r="L148" s="176"/>
      <c r="R148" s="5"/>
      <c r="AA148" s="61">
        <f ca="1">COUNTBLANK(INDIRECT("C148"))</f>
        <v>1</v>
      </c>
      <c r="AB148" s="61">
        <f ca="1">COUNTBLANK(INDIRECT("D148"))</f>
        <v>1</v>
      </c>
      <c r="AC148" s="61">
        <f ca="1">COUNTBLANK(INDIRECT("E148"))</f>
        <v>1</v>
      </c>
      <c r="AD148" s="61">
        <f ca="1">COUNTBLANK(INDIRECT("F148"))</f>
        <v>1</v>
      </c>
      <c r="AE148" s="61">
        <f ca="1">COUNTBLANK(INDIRECT("G148"))</f>
        <v>1</v>
      </c>
      <c r="AF148" s="61">
        <f ca="1">COUNTBLANK(INDIRECT("H148"))</f>
        <v>1</v>
      </c>
      <c r="AG148" s="61">
        <f ca="1">COUNTBLANK(INDIRECT("B148"))</f>
        <v>1</v>
      </c>
    </row>
    <row r="149" spans="1:33" x14ac:dyDescent="0.25">
      <c r="A149" s="2">
        <v>121</v>
      </c>
      <c r="B149" s="63"/>
      <c r="C149" s="56"/>
      <c r="D149" s="56"/>
      <c r="E149" s="56"/>
      <c r="F149" s="56"/>
      <c r="G149" s="56"/>
      <c r="H149" s="56"/>
      <c r="I149" s="117" t="str">
        <f ca="1">IF(AND(INDIRECT("H149")&gt;=INDIRECT("F149"),AA149=0,AB149=0,AC149=0,AF149=0),"Yes",IF(AND(INDIRECT("H149")&lt;INDIRECT("F149"),AA149=0,AB149=0,AC149=0,AF149=0),"No","N/A"))</f>
        <v>N/A</v>
      </c>
      <c r="J149" s="176" t="str">
        <f t="shared" ca="1" si="9"/>
        <v>No Error</v>
      </c>
      <c r="K149" s="176"/>
      <c r="L149" s="176"/>
      <c r="R149" s="5"/>
      <c r="AA149" s="61">
        <f ca="1">COUNTBLANK(INDIRECT("C149"))</f>
        <v>1</v>
      </c>
      <c r="AB149" s="61">
        <f ca="1">COUNTBLANK(INDIRECT("D149"))</f>
        <v>1</v>
      </c>
      <c r="AC149" s="61">
        <f ca="1">COUNTBLANK(INDIRECT("E149"))</f>
        <v>1</v>
      </c>
      <c r="AD149" s="61">
        <f ca="1">COUNTBLANK(INDIRECT("F149"))</f>
        <v>1</v>
      </c>
      <c r="AE149" s="61">
        <f ca="1">COUNTBLANK(INDIRECT("G149"))</f>
        <v>1</v>
      </c>
      <c r="AF149" s="61">
        <f ca="1">COUNTBLANK(INDIRECT("H149"))</f>
        <v>1</v>
      </c>
      <c r="AG149" s="61">
        <f ca="1">COUNTBLANK(INDIRECT("B149"))</f>
        <v>1</v>
      </c>
    </row>
    <row r="150" spans="1:33" x14ac:dyDescent="0.25">
      <c r="A150" s="2">
        <v>122</v>
      </c>
      <c r="B150" s="63"/>
      <c r="C150" s="56"/>
      <c r="D150" s="56"/>
      <c r="E150" s="56"/>
      <c r="F150" s="56"/>
      <c r="G150" s="56"/>
      <c r="H150" s="56"/>
      <c r="I150" s="117" t="str">
        <f ca="1">IF(AND(INDIRECT("H150")&gt;=INDIRECT("F150"),AA150=0,AB150=0,AC150=0,AF150=0),"Yes",IF(AND(INDIRECT("H150")&lt;INDIRECT("F150"),AA150=0,AB150=0,AC150=0,AF150=0),"No","N/A"))</f>
        <v>N/A</v>
      </c>
      <c r="J150" s="176" t="str">
        <f t="shared" ca="1" si="9"/>
        <v>No Error</v>
      </c>
      <c r="K150" s="176"/>
      <c r="L150" s="176"/>
      <c r="R150" s="5"/>
      <c r="AA150" s="61">
        <f ca="1">COUNTBLANK(INDIRECT("C150"))</f>
        <v>1</v>
      </c>
      <c r="AB150" s="61">
        <f ca="1">COUNTBLANK(INDIRECT("D150"))</f>
        <v>1</v>
      </c>
      <c r="AC150" s="61">
        <f ca="1">COUNTBLANK(INDIRECT("E150"))</f>
        <v>1</v>
      </c>
      <c r="AD150" s="61">
        <f ca="1">COUNTBLANK(INDIRECT("F150"))</f>
        <v>1</v>
      </c>
      <c r="AE150" s="61">
        <f ca="1">COUNTBLANK(INDIRECT("G150"))</f>
        <v>1</v>
      </c>
      <c r="AF150" s="61">
        <f ca="1">COUNTBLANK(INDIRECT("H150"))</f>
        <v>1</v>
      </c>
      <c r="AG150" s="61">
        <f ca="1">COUNTBLANK(INDIRECT("B150"))</f>
        <v>1</v>
      </c>
    </row>
    <row r="151" spans="1:33" x14ac:dyDescent="0.25">
      <c r="A151" s="2">
        <v>123</v>
      </c>
      <c r="B151" s="63"/>
      <c r="C151" s="56"/>
      <c r="D151" s="56"/>
      <c r="E151" s="56"/>
      <c r="F151" s="56"/>
      <c r="G151" s="56"/>
      <c r="H151" s="56"/>
      <c r="I151" s="117" t="str">
        <f ca="1">IF(AND(INDIRECT("H151")&gt;=INDIRECT("F151"),AA151=0,AB151=0,AC151=0,AF151=0),"Yes",IF(AND(INDIRECT("H151")&lt;INDIRECT("F151"),AA151=0,AB151=0,AC151=0,AF151=0),"No","N/A"))</f>
        <v>N/A</v>
      </c>
      <c r="J151" s="176" t="str">
        <f t="shared" ca="1" si="9"/>
        <v>No Error</v>
      </c>
      <c r="K151" s="176"/>
      <c r="L151" s="176"/>
      <c r="R151" s="5"/>
      <c r="AA151" s="61">
        <f ca="1">COUNTBLANK(INDIRECT("C151"))</f>
        <v>1</v>
      </c>
      <c r="AB151" s="61">
        <f ca="1">COUNTBLANK(INDIRECT("D151"))</f>
        <v>1</v>
      </c>
      <c r="AC151" s="61">
        <f ca="1">COUNTBLANK(INDIRECT("E151"))</f>
        <v>1</v>
      </c>
      <c r="AD151" s="61">
        <f ca="1">COUNTBLANK(INDIRECT("F151"))</f>
        <v>1</v>
      </c>
      <c r="AE151" s="61">
        <f ca="1">COUNTBLANK(INDIRECT("G151"))</f>
        <v>1</v>
      </c>
      <c r="AF151" s="61">
        <f ca="1">COUNTBLANK(INDIRECT("H151"))</f>
        <v>1</v>
      </c>
      <c r="AG151" s="61">
        <f ca="1">COUNTBLANK(INDIRECT("B151"))</f>
        <v>1</v>
      </c>
    </row>
    <row r="152" spans="1:33" x14ac:dyDescent="0.25">
      <c r="A152" s="2">
        <v>124</v>
      </c>
      <c r="B152" s="63"/>
      <c r="C152" s="56"/>
      <c r="D152" s="56"/>
      <c r="E152" s="56"/>
      <c r="F152" s="56"/>
      <c r="G152" s="56"/>
      <c r="H152" s="56"/>
      <c r="I152" s="117" t="str">
        <f ca="1">IF(AND(INDIRECT("H152")&gt;=INDIRECT("F152"),AA152=0,AB152=0,AC152=0,AF152=0),"Yes",IF(AND(INDIRECT("H152")&lt;INDIRECT("F152"),AA152=0,AB152=0,AC152=0,AF152=0),"No","N/A"))</f>
        <v>N/A</v>
      </c>
      <c r="J152" s="176" t="str">
        <f t="shared" ca="1" si="9"/>
        <v>No Error</v>
      </c>
      <c r="K152" s="176"/>
      <c r="L152" s="176"/>
      <c r="R152" s="5"/>
      <c r="AA152" s="61">
        <f ca="1">COUNTBLANK(INDIRECT("C152"))</f>
        <v>1</v>
      </c>
      <c r="AB152" s="61">
        <f ca="1">COUNTBLANK(INDIRECT("D152"))</f>
        <v>1</v>
      </c>
      <c r="AC152" s="61">
        <f ca="1">COUNTBLANK(INDIRECT("E152"))</f>
        <v>1</v>
      </c>
      <c r="AD152" s="61">
        <f ca="1">COUNTBLANK(INDIRECT("F152"))</f>
        <v>1</v>
      </c>
      <c r="AE152" s="61">
        <f ca="1">COUNTBLANK(INDIRECT("G152"))</f>
        <v>1</v>
      </c>
      <c r="AF152" s="61">
        <f ca="1">COUNTBLANK(INDIRECT("H152"))</f>
        <v>1</v>
      </c>
      <c r="AG152" s="61">
        <f ca="1">COUNTBLANK(INDIRECT("B152"))</f>
        <v>1</v>
      </c>
    </row>
    <row r="153" spans="1:33" x14ac:dyDescent="0.25">
      <c r="A153" s="2">
        <v>125</v>
      </c>
      <c r="B153" s="63"/>
      <c r="C153" s="56"/>
      <c r="D153" s="56"/>
      <c r="E153" s="56"/>
      <c r="F153" s="56"/>
      <c r="G153" s="56"/>
      <c r="H153" s="56"/>
      <c r="I153" s="117" t="str">
        <f ca="1">IF(AND(INDIRECT("H153")&gt;=INDIRECT("F153"),AA153=0,AB153=0,AC153=0,AF153=0),"Yes",IF(AND(INDIRECT("H153")&lt;INDIRECT("F153"),AA153=0,AB153=0,AC153=0,AF153=0),"No","N/A"))</f>
        <v>N/A</v>
      </c>
      <c r="J153" s="176" t="str">
        <f t="shared" ca="1" si="9"/>
        <v>No Error</v>
      </c>
      <c r="K153" s="176"/>
      <c r="L153" s="176"/>
      <c r="R153" s="5"/>
      <c r="AA153" s="61">
        <f ca="1">COUNTBLANK(INDIRECT("C153"))</f>
        <v>1</v>
      </c>
      <c r="AB153" s="61">
        <f ca="1">COUNTBLANK(INDIRECT("D153"))</f>
        <v>1</v>
      </c>
      <c r="AC153" s="61">
        <f ca="1">COUNTBLANK(INDIRECT("E153"))</f>
        <v>1</v>
      </c>
      <c r="AD153" s="61">
        <f ca="1">COUNTBLANK(INDIRECT("F153"))</f>
        <v>1</v>
      </c>
      <c r="AE153" s="61">
        <f ca="1">COUNTBLANK(INDIRECT("G153"))</f>
        <v>1</v>
      </c>
      <c r="AF153" s="61">
        <f ca="1">COUNTBLANK(INDIRECT("H153"))</f>
        <v>1</v>
      </c>
      <c r="AG153" s="61">
        <f ca="1">COUNTBLANK(INDIRECT("B153"))</f>
        <v>1</v>
      </c>
    </row>
    <row r="154" spans="1:33" x14ac:dyDescent="0.25">
      <c r="A154" s="2">
        <v>126</v>
      </c>
      <c r="B154" s="63"/>
      <c r="C154" s="56"/>
      <c r="D154" s="56"/>
      <c r="E154" s="56"/>
      <c r="F154" s="56"/>
      <c r="G154" s="56"/>
      <c r="H154" s="56"/>
      <c r="I154" s="117" t="str">
        <f ca="1">IF(AND(INDIRECT("H154")&gt;=INDIRECT("F154"),AA154=0,AB154=0,AC154=0,AF154=0),"Yes",IF(AND(INDIRECT("H154")&lt;INDIRECT("F154"),AA154=0,AB154=0,AC154=0,AF154=0),"No","N/A"))</f>
        <v>N/A</v>
      </c>
      <c r="J154" s="176" t="str">
        <f t="shared" ca="1" si="9"/>
        <v>No Error</v>
      </c>
      <c r="K154" s="176"/>
      <c r="L154" s="176"/>
      <c r="R154" s="5"/>
      <c r="AA154" s="61">
        <f ca="1">COUNTBLANK(INDIRECT("C154"))</f>
        <v>1</v>
      </c>
      <c r="AB154" s="61">
        <f ca="1">COUNTBLANK(INDIRECT("D154"))</f>
        <v>1</v>
      </c>
      <c r="AC154" s="61">
        <f ca="1">COUNTBLANK(INDIRECT("E154"))</f>
        <v>1</v>
      </c>
      <c r="AD154" s="61">
        <f ca="1">COUNTBLANK(INDIRECT("F154"))</f>
        <v>1</v>
      </c>
      <c r="AE154" s="61">
        <f ca="1">COUNTBLANK(INDIRECT("G154"))</f>
        <v>1</v>
      </c>
      <c r="AF154" s="61">
        <f ca="1">COUNTBLANK(INDIRECT("H154"))</f>
        <v>1</v>
      </c>
      <c r="AG154" s="61">
        <f ca="1">COUNTBLANK(INDIRECT("B154"))</f>
        <v>1</v>
      </c>
    </row>
    <row r="155" spans="1:33" x14ac:dyDescent="0.25">
      <c r="A155" s="2">
        <v>127</v>
      </c>
      <c r="B155" s="63"/>
      <c r="C155" s="56"/>
      <c r="D155" s="56"/>
      <c r="E155" s="56"/>
      <c r="F155" s="56"/>
      <c r="G155" s="56"/>
      <c r="H155" s="56"/>
      <c r="I155" s="117" t="str">
        <f ca="1">IF(AND(INDIRECT("H155")&gt;=INDIRECT("F155"),AA155=0,AB155=0,AC155=0,AF155=0),"Yes",IF(AND(INDIRECT("H155")&lt;INDIRECT("F155"),AA155=0,AB155=0,AC155=0,AF155=0),"No","N/A"))</f>
        <v>N/A</v>
      </c>
      <c r="J155" s="176" t="str">
        <f t="shared" ca="1" si="9"/>
        <v>No Error</v>
      </c>
      <c r="K155" s="176"/>
      <c r="L155" s="176"/>
      <c r="R155" s="5"/>
      <c r="AA155" s="61">
        <f ca="1">COUNTBLANK(INDIRECT("C155"))</f>
        <v>1</v>
      </c>
      <c r="AB155" s="61">
        <f ca="1">COUNTBLANK(INDIRECT("D155"))</f>
        <v>1</v>
      </c>
      <c r="AC155" s="61">
        <f ca="1">COUNTBLANK(INDIRECT("E155"))</f>
        <v>1</v>
      </c>
      <c r="AD155" s="61">
        <f ca="1">COUNTBLANK(INDIRECT("F155"))</f>
        <v>1</v>
      </c>
      <c r="AE155" s="61">
        <f ca="1">COUNTBLANK(INDIRECT("G155"))</f>
        <v>1</v>
      </c>
      <c r="AF155" s="61">
        <f ca="1">COUNTBLANK(INDIRECT("H155"))</f>
        <v>1</v>
      </c>
      <c r="AG155" s="61">
        <f ca="1">COUNTBLANK(INDIRECT("B155"))</f>
        <v>1</v>
      </c>
    </row>
    <row r="156" spans="1:33" x14ac:dyDescent="0.25">
      <c r="A156" s="2">
        <v>128</v>
      </c>
      <c r="B156" s="63"/>
      <c r="C156" s="56"/>
      <c r="D156" s="56"/>
      <c r="E156" s="56"/>
      <c r="F156" s="56"/>
      <c r="G156" s="56"/>
      <c r="H156" s="56"/>
      <c r="I156" s="117" t="str">
        <f ca="1">IF(AND(INDIRECT("H156")&gt;=INDIRECT("F156"),AA156=0,AB156=0,AC156=0,AF156=0),"Yes",IF(AND(INDIRECT("H156")&lt;INDIRECT("F156"),AA156=0,AB156=0,AC156=0,AF156=0),"No","N/A"))</f>
        <v>N/A</v>
      </c>
      <c r="J156" s="176" t="str">
        <f t="shared" ca="1" si="9"/>
        <v>No Error</v>
      </c>
      <c r="K156" s="176"/>
      <c r="L156" s="176"/>
      <c r="R156" s="5"/>
      <c r="AA156" s="61">
        <f ca="1">COUNTBLANK(INDIRECT("C156"))</f>
        <v>1</v>
      </c>
      <c r="AB156" s="61">
        <f ca="1">COUNTBLANK(INDIRECT("D156"))</f>
        <v>1</v>
      </c>
      <c r="AC156" s="61">
        <f ca="1">COUNTBLANK(INDIRECT("E156"))</f>
        <v>1</v>
      </c>
      <c r="AD156" s="61">
        <f ca="1">COUNTBLANK(INDIRECT("F156"))</f>
        <v>1</v>
      </c>
      <c r="AE156" s="61">
        <f ca="1">COUNTBLANK(INDIRECT("G156"))</f>
        <v>1</v>
      </c>
      <c r="AF156" s="61">
        <f ca="1">COUNTBLANK(INDIRECT("H156"))</f>
        <v>1</v>
      </c>
      <c r="AG156" s="61">
        <f ca="1">COUNTBLANK(INDIRECT("B156"))</f>
        <v>1</v>
      </c>
    </row>
    <row r="157" spans="1:33" x14ac:dyDescent="0.25">
      <c r="A157" s="2">
        <v>129</v>
      </c>
      <c r="B157" s="63"/>
      <c r="C157" s="56"/>
      <c r="D157" s="56"/>
      <c r="E157" s="56"/>
      <c r="F157" s="56"/>
      <c r="G157" s="56"/>
      <c r="H157" s="56"/>
      <c r="I157" s="117" t="str">
        <f ca="1">IF(AND(INDIRECT("H157")&gt;=INDIRECT("F157"),AA157=0,AB157=0,AC157=0,AF157=0),"Yes",IF(AND(INDIRECT("H157")&lt;INDIRECT("F157"),AA157=0,AB157=0,AC157=0,AF157=0),"No","N/A"))</f>
        <v>N/A</v>
      </c>
      <c r="J157" s="176" t="str">
        <f t="shared" ca="1" si="9"/>
        <v>No Error</v>
      </c>
      <c r="K157" s="176"/>
      <c r="L157" s="176"/>
      <c r="R157" s="5"/>
      <c r="AA157" s="61">
        <f ca="1">COUNTBLANK(INDIRECT("C157"))</f>
        <v>1</v>
      </c>
      <c r="AB157" s="61">
        <f ca="1">COUNTBLANK(INDIRECT("D157"))</f>
        <v>1</v>
      </c>
      <c r="AC157" s="61">
        <f ca="1">COUNTBLANK(INDIRECT("E157"))</f>
        <v>1</v>
      </c>
      <c r="AD157" s="61">
        <f ca="1">COUNTBLANK(INDIRECT("F157"))</f>
        <v>1</v>
      </c>
      <c r="AE157" s="61">
        <f ca="1">COUNTBLANK(INDIRECT("G157"))</f>
        <v>1</v>
      </c>
      <c r="AF157" s="61">
        <f ca="1">COUNTBLANK(INDIRECT("H157"))</f>
        <v>1</v>
      </c>
      <c r="AG157" s="61">
        <f ca="1">COUNTBLANK(INDIRECT("B157"))</f>
        <v>1</v>
      </c>
    </row>
    <row r="158" spans="1:33" x14ac:dyDescent="0.25">
      <c r="A158" s="2">
        <v>130</v>
      </c>
      <c r="B158" s="63"/>
      <c r="C158" s="56"/>
      <c r="D158" s="56"/>
      <c r="E158" s="56"/>
      <c r="F158" s="56"/>
      <c r="G158" s="56"/>
      <c r="H158" s="56"/>
      <c r="I158" s="117" t="str">
        <f ca="1">IF(AND(INDIRECT("H158")&gt;=INDIRECT("F158"),AA158=0,AB158=0,AC158=0,AF158=0),"Yes",IF(AND(INDIRECT("H158")&lt;INDIRECT("F158"),AA158=0,AB158=0,AC158=0,AF158=0),"No","N/A"))</f>
        <v>N/A</v>
      </c>
      <c r="J158" s="176" t="str">
        <f t="shared" ref="J158:J178" ca="1" si="10">IF(AND(AF158=0,AG158=0,AA158=0,AB158=0,AC158=0,AD158=0),"No Error",IF(AND(AF158=1,AG158=1,AA158=1,AB158=1,AC158=1,AD158=1),"No Error","Please supply all information"))</f>
        <v>No Error</v>
      </c>
      <c r="K158" s="176"/>
      <c r="L158" s="176"/>
      <c r="R158" s="5"/>
      <c r="AA158" s="61">
        <f ca="1">COUNTBLANK(INDIRECT("C158"))</f>
        <v>1</v>
      </c>
      <c r="AB158" s="61">
        <f ca="1">COUNTBLANK(INDIRECT("D158"))</f>
        <v>1</v>
      </c>
      <c r="AC158" s="61">
        <f ca="1">COUNTBLANK(INDIRECT("E158"))</f>
        <v>1</v>
      </c>
      <c r="AD158" s="61">
        <f ca="1">COUNTBLANK(INDIRECT("F158"))</f>
        <v>1</v>
      </c>
      <c r="AE158" s="61">
        <f ca="1">COUNTBLANK(INDIRECT("G158"))</f>
        <v>1</v>
      </c>
      <c r="AF158" s="61">
        <f ca="1">COUNTBLANK(INDIRECT("H158"))</f>
        <v>1</v>
      </c>
      <c r="AG158" s="61">
        <f ca="1">COUNTBLANK(INDIRECT("B158"))</f>
        <v>1</v>
      </c>
    </row>
    <row r="159" spans="1:33" x14ac:dyDescent="0.25">
      <c r="A159" s="2">
        <v>131</v>
      </c>
      <c r="B159" s="63"/>
      <c r="C159" s="56"/>
      <c r="D159" s="56"/>
      <c r="E159" s="56"/>
      <c r="F159" s="56"/>
      <c r="G159" s="56"/>
      <c r="H159" s="56"/>
      <c r="I159" s="117" t="str">
        <f ca="1">IF(AND(INDIRECT("H159")&gt;=INDIRECT("F159"),AA159=0,AB159=0,AC159=0,AF159=0),"Yes",IF(AND(INDIRECT("H159")&lt;INDIRECT("F159"),AA159=0,AB159=0,AC159=0,AF159=0),"No","N/A"))</f>
        <v>N/A</v>
      </c>
      <c r="J159" s="176" t="str">
        <f t="shared" ca="1" si="10"/>
        <v>No Error</v>
      </c>
      <c r="K159" s="176"/>
      <c r="L159" s="176"/>
      <c r="R159" s="5"/>
      <c r="AA159" s="61">
        <f ca="1">COUNTBLANK(INDIRECT("C159"))</f>
        <v>1</v>
      </c>
      <c r="AB159" s="61">
        <f ca="1">COUNTBLANK(INDIRECT("D159"))</f>
        <v>1</v>
      </c>
      <c r="AC159" s="61">
        <f ca="1">COUNTBLANK(INDIRECT("E159"))</f>
        <v>1</v>
      </c>
      <c r="AD159" s="61">
        <f ca="1">COUNTBLANK(INDIRECT("F159"))</f>
        <v>1</v>
      </c>
      <c r="AE159" s="61">
        <f ca="1">COUNTBLANK(INDIRECT("G159"))</f>
        <v>1</v>
      </c>
      <c r="AF159" s="61">
        <f ca="1">COUNTBLANK(INDIRECT("H159"))</f>
        <v>1</v>
      </c>
      <c r="AG159" s="61">
        <f ca="1">COUNTBLANK(INDIRECT("B159"))</f>
        <v>1</v>
      </c>
    </row>
    <row r="160" spans="1:33" x14ac:dyDescent="0.25">
      <c r="A160" s="2">
        <v>132</v>
      </c>
      <c r="B160" s="63"/>
      <c r="C160" s="56"/>
      <c r="D160" s="56"/>
      <c r="E160" s="56"/>
      <c r="F160" s="56"/>
      <c r="G160" s="56"/>
      <c r="H160" s="56"/>
      <c r="I160" s="117" t="str">
        <f ca="1">IF(AND(INDIRECT("H160")&gt;=INDIRECT("F160"),AA160=0,AB160=0,AC160=0,AF160=0),"Yes",IF(AND(INDIRECT("H160")&lt;INDIRECT("F160"),AA160=0,AB160=0,AC160=0,AF160=0),"No","N/A"))</f>
        <v>N/A</v>
      </c>
      <c r="J160" s="176" t="str">
        <f t="shared" ca="1" si="10"/>
        <v>No Error</v>
      </c>
      <c r="K160" s="176"/>
      <c r="L160" s="176"/>
      <c r="R160" s="5"/>
      <c r="AA160" s="61">
        <f ca="1">COUNTBLANK(INDIRECT("C160"))</f>
        <v>1</v>
      </c>
      <c r="AB160" s="61">
        <f ca="1">COUNTBLANK(INDIRECT("D160"))</f>
        <v>1</v>
      </c>
      <c r="AC160" s="61">
        <f ca="1">COUNTBLANK(INDIRECT("E160"))</f>
        <v>1</v>
      </c>
      <c r="AD160" s="61">
        <f ca="1">COUNTBLANK(INDIRECT("F160"))</f>
        <v>1</v>
      </c>
      <c r="AE160" s="61">
        <f ca="1">COUNTBLANK(INDIRECT("G160"))</f>
        <v>1</v>
      </c>
      <c r="AF160" s="61">
        <f ca="1">COUNTBLANK(INDIRECT("H160"))</f>
        <v>1</v>
      </c>
      <c r="AG160" s="61">
        <f ca="1">COUNTBLANK(INDIRECT("B160"))</f>
        <v>1</v>
      </c>
    </row>
    <row r="161" spans="1:33" x14ac:dyDescent="0.25">
      <c r="A161" s="2">
        <v>133</v>
      </c>
      <c r="B161" s="63"/>
      <c r="C161" s="56"/>
      <c r="D161" s="56"/>
      <c r="E161" s="56"/>
      <c r="F161" s="56"/>
      <c r="G161" s="56"/>
      <c r="H161" s="56"/>
      <c r="I161" s="117" t="str">
        <f ca="1">IF(AND(INDIRECT("H161")&gt;=INDIRECT("F161"),AA161=0,AB161=0,AC161=0,AF161=0),"Yes",IF(AND(INDIRECT("H161")&lt;INDIRECT("F161"),AA161=0,AB161=0,AC161=0,AF161=0),"No","N/A"))</f>
        <v>N/A</v>
      </c>
      <c r="J161" s="176" t="str">
        <f t="shared" ca="1" si="10"/>
        <v>No Error</v>
      </c>
      <c r="K161" s="176"/>
      <c r="L161" s="176"/>
      <c r="R161" s="5"/>
      <c r="AA161" s="61">
        <f ca="1">COUNTBLANK(INDIRECT("C161"))</f>
        <v>1</v>
      </c>
      <c r="AB161" s="61">
        <f ca="1">COUNTBLANK(INDIRECT("D161"))</f>
        <v>1</v>
      </c>
      <c r="AC161" s="61">
        <f ca="1">COUNTBLANK(INDIRECT("E161"))</f>
        <v>1</v>
      </c>
      <c r="AD161" s="61">
        <f ca="1">COUNTBLANK(INDIRECT("F161"))</f>
        <v>1</v>
      </c>
      <c r="AE161" s="61">
        <f ca="1">COUNTBLANK(INDIRECT("G161"))</f>
        <v>1</v>
      </c>
      <c r="AF161" s="61">
        <f ca="1">COUNTBLANK(INDIRECT("H161"))</f>
        <v>1</v>
      </c>
      <c r="AG161" s="61">
        <f ca="1">COUNTBLANK(INDIRECT("B161"))</f>
        <v>1</v>
      </c>
    </row>
    <row r="162" spans="1:33" x14ac:dyDescent="0.25">
      <c r="A162" s="2">
        <v>134</v>
      </c>
      <c r="B162" s="63"/>
      <c r="C162" s="56"/>
      <c r="D162" s="56"/>
      <c r="E162" s="56"/>
      <c r="F162" s="56"/>
      <c r="G162" s="56"/>
      <c r="H162" s="56"/>
      <c r="I162" s="117" t="str">
        <f ca="1">IF(AND(INDIRECT("H162")&gt;=INDIRECT("F162"),AA162=0,AB162=0,AC162=0,AF162=0),"Yes",IF(AND(INDIRECT("H162")&lt;INDIRECT("F162"),AA162=0,AB162=0,AC162=0,AF162=0),"No","N/A"))</f>
        <v>N/A</v>
      </c>
      <c r="J162" s="176" t="str">
        <f t="shared" ca="1" si="10"/>
        <v>No Error</v>
      </c>
      <c r="K162" s="176"/>
      <c r="L162" s="176"/>
      <c r="R162" s="5"/>
      <c r="AA162" s="61">
        <f ca="1">COUNTBLANK(INDIRECT("C162"))</f>
        <v>1</v>
      </c>
      <c r="AB162" s="61">
        <f ca="1">COUNTBLANK(INDIRECT("D162"))</f>
        <v>1</v>
      </c>
      <c r="AC162" s="61">
        <f ca="1">COUNTBLANK(INDIRECT("E162"))</f>
        <v>1</v>
      </c>
      <c r="AD162" s="61">
        <f ca="1">COUNTBLANK(INDIRECT("F162"))</f>
        <v>1</v>
      </c>
      <c r="AE162" s="61">
        <f ca="1">COUNTBLANK(INDIRECT("G162"))</f>
        <v>1</v>
      </c>
      <c r="AF162" s="61">
        <f ca="1">COUNTBLANK(INDIRECT("H162"))</f>
        <v>1</v>
      </c>
      <c r="AG162" s="61">
        <f ca="1">COUNTBLANK(INDIRECT("B162"))</f>
        <v>1</v>
      </c>
    </row>
    <row r="163" spans="1:33" x14ac:dyDescent="0.25">
      <c r="A163" s="2">
        <v>135</v>
      </c>
      <c r="B163" s="63"/>
      <c r="C163" s="56"/>
      <c r="D163" s="56"/>
      <c r="E163" s="56"/>
      <c r="F163" s="56"/>
      <c r="G163" s="56"/>
      <c r="H163" s="56"/>
      <c r="I163" s="117" t="str">
        <f ca="1">IF(AND(INDIRECT("H163")&gt;=INDIRECT("F163"),AA163=0,AB163=0,AC163=0,AF163=0),"Yes",IF(AND(INDIRECT("H163")&lt;INDIRECT("F163"),AA163=0,AB163=0,AC163=0,AF163=0),"No","N/A"))</f>
        <v>N/A</v>
      </c>
      <c r="J163" s="176" t="str">
        <f t="shared" ca="1" si="10"/>
        <v>No Error</v>
      </c>
      <c r="K163" s="176"/>
      <c r="L163" s="176"/>
      <c r="R163" s="5"/>
      <c r="AA163" s="61">
        <f ca="1">COUNTBLANK(INDIRECT("C163"))</f>
        <v>1</v>
      </c>
      <c r="AB163" s="61">
        <f ca="1">COUNTBLANK(INDIRECT("D163"))</f>
        <v>1</v>
      </c>
      <c r="AC163" s="61">
        <f ca="1">COUNTBLANK(INDIRECT("E163"))</f>
        <v>1</v>
      </c>
      <c r="AD163" s="61">
        <f ca="1">COUNTBLANK(INDIRECT("F163"))</f>
        <v>1</v>
      </c>
      <c r="AE163" s="61">
        <f ca="1">COUNTBLANK(INDIRECT("G163"))</f>
        <v>1</v>
      </c>
      <c r="AF163" s="61">
        <f ca="1">COUNTBLANK(INDIRECT("H163"))</f>
        <v>1</v>
      </c>
      <c r="AG163" s="61">
        <f ca="1">COUNTBLANK(INDIRECT("B163"))</f>
        <v>1</v>
      </c>
    </row>
    <row r="164" spans="1:33" x14ac:dyDescent="0.25">
      <c r="A164" s="2">
        <v>136</v>
      </c>
      <c r="B164" s="63"/>
      <c r="C164" s="56"/>
      <c r="D164" s="56"/>
      <c r="E164" s="56"/>
      <c r="F164" s="56"/>
      <c r="G164" s="56"/>
      <c r="H164" s="56"/>
      <c r="I164" s="117" t="str">
        <f ca="1">IF(AND(INDIRECT("H164")&gt;=INDIRECT("F164"),AA164=0,AB164=0,AC164=0,AF164=0),"Yes",IF(AND(INDIRECT("H164")&lt;INDIRECT("F164"),AA164=0,AB164=0,AC164=0,AF164=0),"No","N/A"))</f>
        <v>N/A</v>
      </c>
      <c r="J164" s="176" t="str">
        <f t="shared" ca="1" si="10"/>
        <v>No Error</v>
      </c>
      <c r="K164" s="176"/>
      <c r="L164" s="176"/>
      <c r="R164" s="5"/>
      <c r="AA164" s="61">
        <f ca="1">COUNTBLANK(INDIRECT("C164"))</f>
        <v>1</v>
      </c>
      <c r="AB164" s="61">
        <f ca="1">COUNTBLANK(INDIRECT("D164"))</f>
        <v>1</v>
      </c>
      <c r="AC164" s="61">
        <f ca="1">COUNTBLANK(INDIRECT("E164"))</f>
        <v>1</v>
      </c>
      <c r="AD164" s="61">
        <f ca="1">COUNTBLANK(INDIRECT("F164"))</f>
        <v>1</v>
      </c>
      <c r="AE164" s="61">
        <f ca="1">COUNTBLANK(INDIRECT("G164"))</f>
        <v>1</v>
      </c>
      <c r="AF164" s="61">
        <f ca="1">COUNTBLANK(INDIRECT("H164"))</f>
        <v>1</v>
      </c>
      <c r="AG164" s="61">
        <f ca="1">COUNTBLANK(INDIRECT("B164"))</f>
        <v>1</v>
      </c>
    </row>
    <row r="165" spans="1:33" x14ac:dyDescent="0.25">
      <c r="A165" s="2">
        <v>137</v>
      </c>
      <c r="B165" s="63"/>
      <c r="C165" s="56"/>
      <c r="D165" s="56"/>
      <c r="E165" s="56"/>
      <c r="F165" s="56"/>
      <c r="G165" s="56"/>
      <c r="H165" s="56"/>
      <c r="I165" s="117" t="str">
        <f ca="1">IF(AND(INDIRECT("H165")&gt;=INDIRECT("F165"),AA165=0,AB165=0,AC165=0,AF165=0),"Yes",IF(AND(INDIRECT("H165")&lt;INDIRECT("F165"),AA165=0,AB165=0,AC165=0,AF165=0),"No","N/A"))</f>
        <v>N/A</v>
      </c>
      <c r="J165" s="176" t="str">
        <f t="shared" ca="1" si="10"/>
        <v>No Error</v>
      </c>
      <c r="K165" s="176"/>
      <c r="L165" s="176"/>
      <c r="R165" s="5"/>
      <c r="AA165" s="61">
        <f ca="1">COUNTBLANK(INDIRECT("C165"))</f>
        <v>1</v>
      </c>
      <c r="AB165" s="61">
        <f ca="1">COUNTBLANK(INDIRECT("D165"))</f>
        <v>1</v>
      </c>
      <c r="AC165" s="61">
        <f ca="1">COUNTBLANK(INDIRECT("E165"))</f>
        <v>1</v>
      </c>
      <c r="AD165" s="61">
        <f ca="1">COUNTBLANK(INDIRECT("F165"))</f>
        <v>1</v>
      </c>
      <c r="AE165" s="61">
        <f ca="1">COUNTBLANK(INDIRECT("G165"))</f>
        <v>1</v>
      </c>
      <c r="AF165" s="61">
        <f ca="1">COUNTBLANK(INDIRECT("H165"))</f>
        <v>1</v>
      </c>
      <c r="AG165" s="61">
        <f ca="1">COUNTBLANK(INDIRECT("B165"))</f>
        <v>1</v>
      </c>
    </row>
    <row r="166" spans="1:33" x14ac:dyDescent="0.25">
      <c r="A166" s="2">
        <v>138</v>
      </c>
      <c r="B166" s="63"/>
      <c r="C166" s="56"/>
      <c r="D166" s="56"/>
      <c r="E166" s="56"/>
      <c r="F166" s="56"/>
      <c r="G166" s="56"/>
      <c r="H166" s="56"/>
      <c r="I166" s="117" t="str">
        <f ca="1">IF(AND(INDIRECT("H166")&gt;=INDIRECT("F166"),AA166=0,AB166=0,AC166=0,AF166=0),"Yes",IF(AND(INDIRECT("H166")&lt;INDIRECT("F166"),AA166=0,AB166=0,AC166=0,AF166=0),"No","N/A"))</f>
        <v>N/A</v>
      </c>
      <c r="J166" s="176" t="str">
        <f t="shared" ca="1" si="10"/>
        <v>No Error</v>
      </c>
      <c r="K166" s="176"/>
      <c r="L166" s="176"/>
      <c r="R166" s="5"/>
      <c r="AA166" s="61">
        <f ca="1">COUNTBLANK(INDIRECT("C166"))</f>
        <v>1</v>
      </c>
      <c r="AB166" s="61">
        <f ca="1">COUNTBLANK(INDIRECT("D166"))</f>
        <v>1</v>
      </c>
      <c r="AC166" s="61">
        <f ca="1">COUNTBLANK(INDIRECT("E166"))</f>
        <v>1</v>
      </c>
      <c r="AD166" s="61">
        <f ca="1">COUNTBLANK(INDIRECT("F166"))</f>
        <v>1</v>
      </c>
      <c r="AE166" s="61">
        <f ca="1">COUNTBLANK(INDIRECT("G166"))</f>
        <v>1</v>
      </c>
      <c r="AF166" s="61">
        <f ca="1">COUNTBLANK(INDIRECT("H166"))</f>
        <v>1</v>
      </c>
      <c r="AG166" s="61">
        <f ca="1">COUNTBLANK(INDIRECT("B166"))</f>
        <v>1</v>
      </c>
    </row>
    <row r="167" spans="1:33" x14ac:dyDescent="0.25">
      <c r="A167" s="2">
        <v>139</v>
      </c>
      <c r="B167" s="63"/>
      <c r="C167" s="56"/>
      <c r="D167" s="56"/>
      <c r="E167" s="56"/>
      <c r="F167" s="56"/>
      <c r="G167" s="56"/>
      <c r="H167" s="56"/>
      <c r="I167" s="117" t="str">
        <f ca="1">IF(AND(INDIRECT("H167")&gt;=INDIRECT("F167"),AA167=0,AB167=0,AC167=0,AF167=0),"Yes",IF(AND(INDIRECT("H167")&lt;INDIRECT("F167"),AA167=0,AB167=0,AC167=0,AF167=0),"No","N/A"))</f>
        <v>N/A</v>
      </c>
      <c r="J167" s="176" t="str">
        <f t="shared" ca="1" si="10"/>
        <v>No Error</v>
      </c>
      <c r="K167" s="176"/>
      <c r="L167" s="176"/>
      <c r="R167" s="5"/>
      <c r="AA167" s="61">
        <f ca="1">COUNTBLANK(INDIRECT("C167"))</f>
        <v>1</v>
      </c>
      <c r="AB167" s="61">
        <f ca="1">COUNTBLANK(INDIRECT("D167"))</f>
        <v>1</v>
      </c>
      <c r="AC167" s="61">
        <f ca="1">COUNTBLANK(INDIRECT("E167"))</f>
        <v>1</v>
      </c>
      <c r="AD167" s="61">
        <f ca="1">COUNTBLANK(INDIRECT("F167"))</f>
        <v>1</v>
      </c>
      <c r="AE167" s="61">
        <f ca="1">COUNTBLANK(INDIRECT("G167"))</f>
        <v>1</v>
      </c>
      <c r="AF167" s="61">
        <f ca="1">COUNTBLANK(INDIRECT("H167"))</f>
        <v>1</v>
      </c>
      <c r="AG167" s="61">
        <f ca="1">COUNTBLANK(INDIRECT("B167"))</f>
        <v>1</v>
      </c>
    </row>
    <row r="168" spans="1:33" x14ac:dyDescent="0.25">
      <c r="A168" s="2">
        <v>140</v>
      </c>
      <c r="B168" s="63"/>
      <c r="C168" s="56"/>
      <c r="D168" s="56"/>
      <c r="E168" s="56"/>
      <c r="F168" s="56"/>
      <c r="G168" s="56"/>
      <c r="H168" s="56"/>
      <c r="I168" s="117" t="str">
        <f ca="1">IF(AND(INDIRECT("H168")&gt;=INDIRECT("F168"),AA168=0,AB168=0,AC168=0,AF168=0),"Yes",IF(AND(INDIRECT("H168")&lt;INDIRECT("F168"),AA168=0,AB168=0,AC168=0,AF168=0),"No","N/A"))</f>
        <v>N/A</v>
      </c>
      <c r="J168" s="176" t="str">
        <f t="shared" ca="1" si="10"/>
        <v>No Error</v>
      </c>
      <c r="K168" s="176"/>
      <c r="L168" s="176"/>
      <c r="R168" s="5"/>
      <c r="AA168" s="61">
        <f ca="1">COUNTBLANK(INDIRECT("C168"))</f>
        <v>1</v>
      </c>
      <c r="AB168" s="61">
        <f ca="1">COUNTBLANK(INDIRECT("D168"))</f>
        <v>1</v>
      </c>
      <c r="AC168" s="61">
        <f ca="1">COUNTBLANK(INDIRECT("E168"))</f>
        <v>1</v>
      </c>
      <c r="AD168" s="61">
        <f ca="1">COUNTBLANK(INDIRECT("F168"))</f>
        <v>1</v>
      </c>
      <c r="AE168" s="61">
        <f ca="1">COUNTBLANK(INDIRECT("G168"))</f>
        <v>1</v>
      </c>
      <c r="AF168" s="61">
        <f ca="1">COUNTBLANK(INDIRECT("H168"))</f>
        <v>1</v>
      </c>
      <c r="AG168" s="61">
        <f ca="1">COUNTBLANK(INDIRECT("B168"))</f>
        <v>1</v>
      </c>
    </row>
    <row r="169" spans="1:33" x14ac:dyDescent="0.25">
      <c r="A169" s="2">
        <v>141</v>
      </c>
      <c r="B169" s="63"/>
      <c r="C169" s="56"/>
      <c r="D169" s="56"/>
      <c r="E169" s="56"/>
      <c r="F169" s="56"/>
      <c r="G169" s="56"/>
      <c r="H169" s="56"/>
      <c r="I169" s="117" t="str">
        <f ca="1">IF(AND(INDIRECT("H169")&gt;=INDIRECT("F169"),AA169=0,AB169=0,AC169=0,AF169=0),"Yes",IF(AND(INDIRECT("H169")&lt;INDIRECT("F169"),AA169=0,AB169=0,AC169=0,AF169=0),"No","N/A"))</f>
        <v>N/A</v>
      </c>
      <c r="J169" s="176" t="str">
        <f t="shared" ca="1" si="10"/>
        <v>No Error</v>
      </c>
      <c r="K169" s="176"/>
      <c r="L169" s="176"/>
      <c r="R169" s="5"/>
      <c r="AA169" s="61">
        <f ca="1">COUNTBLANK(INDIRECT("C169"))</f>
        <v>1</v>
      </c>
      <c r="AB169" s="61">
        <f ca="1">COUNTBLANK(INDIRECT("D169"))</f>
        <v>1</v>
      </c>
      <c r="AC169" s="61">
        <f ca="1">COUNTBLANK(INDIRECT("E169"))</f>
        <v>1</v>
      </c>
      <c r="AD169" s="61">
        <f ca="1">COUNTBLANK(INDIRECT("F169"))</f>
        <v>1</v>
      </c>
      <c r="AE169" s="61">
        <f ca="1">COUNTBLANK(INDIRECT("G169"))</f>
        <v>1</v>
      </c>
      <c r="AF169" s="61">
        <f ca="1">COUNTBLANK(INDIRECT("H169"))</f>
        <v>1</v>
      </c>
      <c r="AG169" s="61">
        <f ca="1">COUNTBLANK(INDIRECT("B169"))</f>
        <v>1</v>
      </c>
    </row>
    <row r="170" spans="1:33" x14ac:dyDescent="0.25">
      <c r="A170" s="2">
        <v>142</v>
      </c>
      <c r="B170" s="63"/>
      <c r="C170" s="56"/>
      <c r="D170" s="56"/>
      <c r="E170" s="56"/>
      <c r="F170" s="56"/>
      <c r="G170" s="56"/>
      <c r="H170" s="56"/>
      <c r="I170" s="117" t="str">
        <f ca="1">IF(AND(INDIRECT("H170")&gt;=INDIRECT("F170"),AA170=0,AB170=0,AC170=0,AF170=0),"Yes",IF(AND(INDIRECT("H170")&lt;INDIRECT("F170"),AA170=0,AB170=0,AC170=0,AF170=0),"No","N/A"))</f>
        <v>N/A</v>
      </c>
      <c r="J170" s="176" t="str">
        <f t="shared" ca="1" si="10"/>
        <v>No Error</v>
      </c>
      <c r="K170" s="176"/>
      <c r="L170" s="176"/>
      <c r="R170" s="5"/>
      <c r="AA170" s="61">
        <f ca="1">COUNTBLANK(INDIRECT("C170"))</f>
        <v>1</v>
      </c>
      <c r="AB170" s="61">
        <f ca="1">COUNTBLANK(INDIRECT("D170"))</f>
        <v>1</v>
      </c>
      <c r="AC170" s="61">
        <f ca="1">COUNTBLANK(INDIRECT("E170"))</f>
        <v>1</v>
      </c>
      <c r="AD170" s="61">
        <f ca="1">COUNTBLANK(INDIRECT("F170"))</f>
        <v>1</v>
      </c>
      <c r="AE170" s="61">
        <f ca="1">COUNTBLANK(INDIRECT("G170"))</f>
        <v>1</v>
      </c>
      <c r="AF170" s="61">
        <f ca="1">COUNTBLANK(INDIRECT("H170"))</f>
        <v>1</v>
      </c>
      <c r="AG170" s="61">
        <f ca="1">COUNTBLANK(INDIRECT("B170"))</f>
        <v>1</v>
      </c>
    </row>
    <row r="171" spans="1:33" x14ac:dyDescent="0.25">
      <c r="A171" s="2">
        <v>143</v>
      </c>
      <c r="B171" s="63"/>
      <c r="C171" s="56"/>
      <c r="D171" s="56"/>
      <c r="E171" s="56"/>
      <c r="F171" s="56"/>
      <c r="G171" s="56"/>
      <c r="H171" s="56"/>
      <c r="I171" s="117" t="str">
        <f ca="1">IF(AND(INDIRECT("H171")&gt;=INDIRECT("F171"),AA171=0,AB171=0,AC171=0,AF171=0),"Yes",IF(AND(INDIRECT("H171")&lt;INDIRECT("F171"),AA171=0,AB171=0,AC171=0,AF171=0),"No","N/A"))</f>
        <v>N/A</v>
      </c>
      <c r="J171" s="176" t="str">
        <f t="shared" ca="1" si="10"/>
        <v>No Error</v>
      </c>
      <c r="K171" s="176"/>
      <c r="L171" s="176"/>
      <c r="AA171" s="61">
        <f ca="1">COUNTBLANK(INDIRECT("C171"))</f>
        <v>1</v>
      </c>
      <c r="AB171" s="61">
        <f ca="1">COUNTBLANK(INDIRECT("D171"))</f>
        <v>1</v>
      </c>
      <c r="AC171" s="61">
        <f ca="1">COUNTBLANK(INDIRECT("E171"))</f>
        <v>1</v>
      </c>
      <c r="AD171" s="61">
        <f ca="1">COUNTBLANK(INDIRECT("F171"))</f>
        <v>1</v>
      </c>
      <c r="AE171" s="61">
        <f ca="1">COUNTBLANK(INDIRECT("G171"))</f>
        <v>1</v>
      </c>
      <c r="AF171" s="61">
        <f ca="1">COUNTBLANK(INDIRECT("H171"))</f>
        <v>1</v>
      </c>
      <c r="AG171" s="61">
        <f ca="1">COUNTBLANK(INDIRECT("B171"))</f>
        <v>1</v>
      </c>
    </row>
    <row r="172" spans="1:33" x14ac:dyDescent="0.25">
      <c r="A172" s="2">
        <v>144</v>
      </c>
      <c r="B172" s="63"/>
      <c r="C172" s="56"/>
      <c r="D172" s="56"/>
      <c r="E172" s="56"/>
      <c r="F172" s="56"/>
      <c r="G172" s="56"/>
      <c r="H172" s="56"/>
      <c r="I172" s="117" t="str">
        <f ca="1">IF(AND(INDIRECT("H172")&gt;=INDIRECT("F172"),AA172=0,AB172=0,AC172=0,AF172=0),"Yes",IF(AND(INDIRECT("H172")&lt;INDIRECT("F172"),AA172=0,AB172=0,AC172=0,AF172=0),"No","N/A"))</f>
        <v>N/A</v>
      </c>
      <c r="J172" s="176" t="str">
        <f t="shared" ca="1" si="10"/>
        <v>No Error</v>
      </c>
      <c r="K172" s="176"/>
      <c r="L172" s="176"/>
      <c r="AA172" s="61">
        <f ca="1">COUNTBLANK(INDIRECT("C172"))</f>
        <v>1</v>
      </c>
      <c r="AB172" s="61">
        <f ca="1">COUNTBLANK(INDIRECT("D172"))</f>
        <v>1</v>
      </c>
      <c r="AC172" s="61">
        <f ca="1">COUNTBLANK(INDIRECT("E172"))</f>
        <v>1</v>
      </c>
      <c r="AD172" s="61">
        <f ca="1">COUNTBLANK(INDIRECT("F172"))</f>
        <v>1</v>
      </c>
      <c r="AE172" s="61">
        <f ca="1">COUNTBLANK(INDIRECT("G172"))</f>
        <v>1</v>
      </c>
      <c r="AF172" s="61">
        <f ca="1">COUNTBLANK(INDIRECT("H172"))</f>
        <v>1</v>
      </c>
      <c r="AG172" s="61">
        <f ca="1">COUNTBLANK(INDIRECT("B172"))</f>
        <v>1</v>
      </c>
    </row>
    <row r="173" spans="1:33" x14ac:dyDescent="0.25">
      <c r="A173" s="2">
        <v>145</v>
      </c>
      <c r="B173" s="63"/>
      <c r="C173" s="56"/>
      <c r="D173" s="56"/>
      <c r="E173" s="56"/>
      <c r="F173" s="56"/>
      <c r="G173" s="56"/>
      <c r="H173" s="56"/>
      <c r="I173" s="117" t="str">
        <f ca="1">IF(AND(INDIRECT("H173")&gt;=INDIRECT("F173"),AA173=0,AB173=0,AC173=0,AF173=0),"Yes",IF(AND(INDIRECT("H173")&lt;INDIRECT("F173"),AA173=0,AB173=0,AC173=0,AF173=0),"No","N/A"))</f>
        <v>N/A</v>
      </c>
      <c r="J173" s="176" t="str">
        <f t="shared" ca="1" si="10"/>
        <v>No Error</v>
      </c>
      <c r="K173" s="176"/>
      <c r="L173" s="176"/>
      <c r="AA173" s="61">
        <f ca="1">COUNTBLANK(INDIRECT("C173"))</f>
        <v>1</v>
      </c>
      <c r="AB173" s="61">
        <f ca="1">COUNTBLANK(INDIRECT("D173"))</f>
        <v>1</v>
      </c>
      <c r="AC173" s="61">
        <f ca="1">COUNTBLANK(INDIRECT("E173"))</f>
        <v>1</v>
      </c>
      <c r="AD173" s="61">
        <f ca="1">COUNTBLANK(INDIRECT("F173"))</f>
        <v>1</v>
      </c>
      <c r="AE173" s="61">
        <f ca="1">COUNTBLANK(INDIRECT("G173"))</f>
        <v>1</v>
      </c>
      <c r="AF173" s="61">
        <f ca="1">COUNTBLANK(INDIRECT("H173"))</f>
        <v>1</v>
      </c>
      <c r="AG173" s="61">
        <f ca="1">COUNTBLANK(INDIRECT("B173"))</f>
        <v>1</v>
      </c>
    </row>
    <row r="174" spans="1:33" x14ac:dyDescent="0.25">
      <c r="A174" s="2">
        <v>146</v>
      </c>
      <c r="B174" s="63"/>
      <c r="C174" s="56"/>
      <c r="D174" s="56"/>
      <c r="E174" s="56"/>
      <c r="F174" s="56"/>
      <c r="G174" s="56"/>
      <c r="H174" s="56"/>
      <c r="I174" s="117" t="str">
        <f ca="1">IF(AND(INDIRECT("H174")&gt;=INDIRECT("F174"),AA174=0,AB174=0,AC174=0,AF174=0),"Yes",IF(AND(INDIRECT("H174")&lt;INDIRECT("F174"),AA174=0,AB174=0,AC174=0,AF174=0),"No","N/A"))</f>
        <v>N/A</v>
      </c>
      <c r="J174" s="176" t="str">
        <f t="shared" ca="1" si="10"/>
        <v>No Error</v>
      </c>
      <c r="K174" s="176"/>
      <c r="L174" s="176"/>
      <c r="AA174" s="61">
        <f ca="1">COUNTBLANK(INDIRECT("C174"))</f>
        <v>1</v>
      </c>
      <c r="AB174" s="61">
        <f ca="1">COUNTBLANK(INDIRECT("D174"))</f>
        <v>1</v>
      </c>
      <c r="AC174" s="61">
        <f ca="1">COUNTBLANK(INDIRECT("E174"))</f>
        <v>1</v>
      </c>
      <c r="AD174" s="61">
        <f ca="1">COUNTBLANK(INDIRECT("F174"))</f>
        <v>1</v>
      </c>
      <c r="AE174" s="61">
        <f ca="1">COUNTBLANK(INDIRECT("G174"))</f>
        <v>1</v>
      </c>
      <c r="AF174" s="61">
        <f ca="1">COUNTBLANK(INDIRECT("H174"))</f>
        <v>1</v>
      </c>
      <c r="AG174" s="61">
        <f ca="1">COUNTBLANK(INDIRECT("B174"))</f>
        <v>1</v>
      </c>
    </row>
    <row r="175" spans="1:33" x14ac:dyDescent="0.25">
      <c r="A175" s="2">
        <v>147</v>
      </c>
      <c r="B175" s="63"/>
      <c r="C175" s="56"/>
      <c r="D175" s="56"/>
      <c r="E175" s="56"/>
      <c r="F175" s="56"/>
      <c r="G175" s="56"/>
      <c r="H175" s="56"/>
      <c r="I175" s="117" t="str">
        <f ca="1">IF(AND(INDIRECT("H175")&gt;=INDIRECT("F175"),AA175=0,AB175=0,AC175=0,AF175=0),"Yes",IF(AND(INDIRECT("H175")&lt;INDIRECT("F175"),AA175=0,AB175=0,AC175=0,AF175=0),"No","N/A"))</f>
        <v>N/A</v>
      </c>
      <c r="J175" s="176" t="str">
        <f t="shared" ca="1" si="10"/>
        <v>No Error</v>
      </c>
      <c r="K175" s="176"/>
      <c r="L175" s="176"/>
      <c r="AA175" s="61">
        <f ca="1">COUNTBLANK(INDIRECT("C175"))</f>
        <v>1</v>
      </c>
      <c r="AB175" s="61">
        <f ca="1">COUNTBLANK(INDIRECT("D175"))</f>
        <v>1</v>
      </c>
      <c r="AC175" s="61">
        <f ca="1">COUNTBLANK(INDIRECT("E175"))</f>
        <v>1</v>
      </c>
      <c r="AD175" s="61">
        <f ca="1">COUNTBLANK(INDIRECT("F175"))</f>
        <v>1</v>
      </c>
      <c r="AE175" s="61">
        <f ca="1">COUNTBLANK(INDIRECT("G175"))</f>
        <v>1</v>
      </c>
      <c r="AF175" s="61">
        <f ca="1">COUNTBLANK(INDIRECT("H175"))</f>
        <v>1</v>
      </c>
      <c r="AG175" s="61">
        <f ca="1">COUNTBLANK(INDIRECT("B175"))</f>
        <v>1</v>
      </c>
    </row>
    <row r="176" spans="1:33" x14ac:dyDescent="0.25">
      <c r="A176" s="2">
        <v>148</v>
      </c>
      <c r="B176" s="63"/>
      <c r="C176" s="56"/>
      <c r="D176" s="56"/>
      <c r="E176" s="56"/>
      <c r="F176" s="56"/>
      <c r="G176" s="56"/>
      <c r="H176" s="56"/>
      <c r="I176" s="117" t="str">
        <f ca="1">IF(AND(INDIRECT("H176")&gt;=INDIRECT("F176"),AA176=0,AB176=0,AC176=0,AF176=0),"Yes",IF(AND(INDIRECT("H176")&lt;INDIRECT("F176"),AA176=0,AB176=0,AC176=0,AF176=0),"No","N/A"))</f>
        <v>N/A</v>
      </c>
      <c r="J176" s="176" t="str">
        <f t="shared" ca="1" si="10"/>
        <v>No Error</v>
      </c>
      <c r="K176" s="176"/>
      <c r="L176" s="176"/>
      <c r="AA176" s="61">
        <f ca="1">COUNTBLANK(INDIRECT("C176"))</f>
        <v>1</v>
      </c>
      <c r="AB176" s="61">
        <f ca="1">COUNTBLANK(INDIRECT("D176"))</f>
        <v>1</v>
      </c>
      <c r="AC176" s="61">
        <f ca="1">COUNTBLANK(INDIRECT("E176"))</f>
        <v>1</v>
      </c>
      <c r="AD176" s="61">
        <f ca="1">COUNTBLANK(INDIRECT("F176"))</f>
        <v>1</v>
      </c>
      <c r="AE176" s="61">
        <f ca="1">COUNTBLANK(INDIRECT("G176"))</f>
        <v>1</v>
      </c>
      <c r="AF176" s="61">
        <f ca="1">COUNTBLANK(INDIRECT("H176"))</f>
        <v>1</v>
      </c>
      <c r="AG176" s="61">
        <f ca="1">COUNTBLANK(INDIRECT("B176"))</f>
        <v>1</v>
      </c>
    </row>
    <row r="177" spans="1:33" x14ac:dyDescent="0.25">
      <c r="A177" s="2">
        <v>149</v>
      </c>
      <c r="B177" s="63"/>
      <c r="C177" s="56"/>
      <c r="D177" s="56"/>
      <c r="E177" s="56"/>
      <c r="F177" s="56"/>
      <c r="G177" s="56"/>
      <c r="H177" s="56"/>
      <c r="I177" s="117" t="str">
        <f ca="1">IF(AND(INDIRECT("H177")&gt;=INDIRECT("F177"),AA177=0,AB177=0,AC177=0,AF177=0),"Yes",IF(AND(INDIRECT("H177")&lt;INDIRECT("F177"),AA177=0,AB177=0,AC177=0,AF177=0),"No","N/A"))</f>
        <v>N/A</v>
      </c>
      <c r="J177" s="176" t="str">
        <f t="shared" ca="1" si="10"/>
        <v>No Error</v>
      </c>
      <c r="K177" s="176"/>
      <c r="L177" s="176"/>
      <c r="AA177" s="61">
        <f ca="1">COUNTBLANK(INDIRECT("C177"))</f>
        <v>1</v>
      </c>
      <c r="AB177" s="61">
        <f ca="1">COUNTBLANK(INDIRECT("D177"))</f>
        <v>1</v>
      </c>
      <c r="AC177" s="61">
        <f ca="1">COUNTBLANK(INDIRECT("E177"))</f>
        <v>1</v>
      </c>
      <c r="AD177" s="61">
        <f ca="1">COUNTBLANK(INDIRECT("F177"))</f>
        <v>1</v>
      </c>
      <c r="AE177" s="61">
        <f ca="1">COUNTBLANK(INDIRECT("G177"))</f>
        <v>1</v>
      </c>
      <c r="AF177" s="61">
        <f ca="1">COUNTBLANK(INDIRECT("H177"))</f>
        <v>1</v>
      </c>
      <c r="AG177" s="61">
        <f ca="1">COUNTBLANK(INDIRECT("B177"))</f>
        <v>1</v>
      </c>
    </row>
    <row r="178" spans="1:33" x14ac:dyDescent="0.25">
      <c r="A178" s="2">
        <v>150</v>
      </c>
      <c r="B178" s="63"/>
      <c r="C178" s="56"/>
      <c r="D178" s="56"/>
      <c r="E178" s="56"/>
      <c r="F178" s="56"/>
      <c r="G178" s="56"/>
      <c r="H178" s="56"/>
      <c r="I178" s="117" t="str">
        <f ca="1">IF(AND(INDIRECT("H178")&gt;=INDIRECT("F178"),AA178=0,AB178=0,AC178=0,AF178=0),"Yes",IF(AND(INDIRECT("H178")&lt;INDIRECT("F178"),AA178=0,AB178=0,AC178=0,AF178=0),"No","N/A"))</f>
        <v>N/A</v>
      </c>
      <c r="J178" s="176" t="str">
        <f t="shared" ca="1" si="10"/>
        <v>No Error</v>
      </c>
      <c r="K178" s="176"/>
      <c r="L178" s="176"/>
      <c r="AA178" s="61">
        <f ca="1">COUNTBLANK(INDIRECT("C178"))</f>
        <v>1</v>
      </c>
      <c r="AB178" s="61">
        <f ca="1">COUNTBLANK(INDIRECT("D178"))</f>
        <v>1</v>
      </c>
      <c r="AC178" s="61">
        <f ca="1">COUNTBLANK(INDIRECT("E178"))</f>
        <v>1</v>
      </c>
      <c r="AD178" s="61">
        <f ca="1">COUNTBLANK(INDIRECT("F178"))</f>
        <v>1</v>
      </c>
      <c r="AE178" s="61">
        <f ca="1">COUNTBLANK(INDIRECT("G178"))</f>
        <v>1</v>
      </c>
      <c r="AF178" s="61">
        <f ca="1">COUNTBLANK(INDIRECT("H178"))</f>
        <v>1</v>
      </c>
      <c r="AG178" s="61">
        <f ca="1">COUNTBLANK(INDIRECT("B178"))</f>
        <v>1</v>
      </c>
    </row>
    <row r="179" spans="1:33" ht="18.75" x14ac:dyDescent="0.3">
      <c r="B179" s="19" t="s">
        <v>14</v>
      </c>
      <c r="C179" s="19" t="s">
        <v>39</v>
      </c>
      <c r="D179" s="118" t="s">
        <v>40</v>
      </c>
      <c r="E179" s="118" t="s">
        <v>41</v>
      </c>
      <c r="F179" s="118" t="s">
        <v>42</v>
      </c>
      <c r="G179" s="118" t="s">
        <v>43</v>
      </c>
      <c r="H179" s="118" t="s">
        <v>44</v>
      </c>
      <c r="I179" s="118" t="s">
        <v>16</v>
      </c>
      <c r="J179" s="175" t="s">
        <v>187</v>
      </c>
      <c r="K179" s="175"/>
      <c r="L179" s="175"/>
      <c r="M179" s="13"/>
      <c r="N179" s="13"/>
      <c r="AA179" s="61"/>
      <c r="AB179" s="61"/>
      <c r="AC179" s="61"/>
      <c r="AD179" s="61"/>
      <c r="AE179" s="61"/>
      <c r="AF179" s="61"/>
      <c r="AG179" s="61"/>
    </row>
    <row r="180" spans="1:33" ht="21" x14ac:dyDescent="0.25">
      <c r="B180" s="179" t="s">
        <v>55</v>
      </c>
      <c r="C180" s="179"/>
      <c r="D180" s="179"/>
      <c r="E180" s="179"/>
      <c r="F180" s="179"/>
      <c r="G180" s="179"/>
      <c r="H180" s="179"/>
      <c r="I180" s="179"/>
      <c r="J180" s="45"/>
      <c r="K180" s="45"/>
      <c r="L180" s="45"/>
      <c r="M180" s="37"/>
      <c r="N180" s="43"/>
      <c r="AA180" s="61"/>
      <c r="AB180" s="61"/>
      <c r="AC180" s="61"/>
      <c r="AD180" s="61"/>
      <c r="AE180" s="61"/>
      <c r="AF180" s="61"/>
      <c r="AG180" s="61"/>
    </row>
    <row r="181" spans="1:33" x14ac:dyDescent="0.25">
      <c r="A181" s="2">
        <v>1</v>
      </c>
      <c r="B181" s="63"/>
      <c r="C181" s="56"/>
      <c r="D181" s="56"/>
      <c r="E181" s="56"/>
      <c r="F181" s="56"/>
      <c r="G181" s="56"/>
      <c r="H181" s="56"/>
      <c r="I181" s="117" t="str">
        <f ca="1">IF(AND(INDIRECT("H181")&gt;=INDIRECT("F181"),AA181=0,AB181=0,AC181=0,AF181=0),"Yes",IF(AND(INDIRECT("H181")&lt;INDIRECT("F181"),AA181=0,AB181=0,AC181=0,AF181=0),"No","N/A"))</f>
        <v>N/A</v>
      </c>
      <c r="J181" s="174" t="str">
        <f t="shared" ref="J181:J244" ca="1" si="11">IF(AND(AF181=0,AG181=0,AA181=0,AB181=0,AC181=0,AD181=0),"No Error",IF(AND(AF181=1,AG181=1,AA181=1,AB181=1,AC181=1,AD181=1),"No Error","Please supply all information"))</f>
        <v>No Error</v>
      </c>
      <c r="K181" s="174"/>
      <c r="L181" s="174"/>
      <c r="AA181" s="61">
        <f ca="1">COUNTBLANK(INDIRECT("C181"))</f>
        <v>1</v>
      </c>
      <c r="AB181" s="61">
        <f ca="1">COUNTBLANK(INDIRECT("D181"))</f>
        <v>1</v>
      </c>
      <c r="AC181" s="61">
        <f ca="1">COUNTBLANK(INDIRECT("e181"))</f>
        <v>1</v>
      </c>
      <c r="AD181" s="61">
        <f ca="1">COUNTBLANK(INDIRECT("f181"))</f>
        <v>1</v>
      </c>
      <c r="AE181" s="61">
        <f ca="1">COUNTBLANK(INDIRECT("g181"))</f>
        <v>1</v>
      </c>
      <c r="AF181" s="61">
        <f ca="1">COUNTBLANK(INDIRECT("h181"))</f>
        <v>1</v>
      </c>
      <c r="AG181" s="61">
        <f ca="1">COUNTBLANK(INDIRECT("b181"))</f>
        <v>1</v>
      </c>
    </row>
    <row r="182" spans="1:33" x14ac:dyDescent="0.25">
      <c r="A182" s="2">
        <v>2</v>
      </c>
      <c r="B182" s="63"/>
      <c r="C182" s="56"/>
      <c r="D182" s="56"/>
      <c r="E182" s="56"/>
      <c r="F182" s="56"/>
      <c r="G182" s="56"/>
      <c r="H182" s="56"/>
      <c r="I182" s="117" t="str">
        <f ca="1">IF(AND(INDIRECT("H182")&gt;=INDIRECT("F182"),AA182=0,AB182=0,AC182=0,AF182=0),"Yes",IF(AND(INDIRECT("H182")&lt;INDIRECT("F182"),AA182=0,AB182=0,AC182=0,AF182=0),"No","N/A"))</f>
        <v>N/A</v>
      </c>
      <c r="J182" s="174" t="str">
        <f t="shared" ca="1" si="11"/>
        <v>No Error</v>
      </c>
      <c r="K182" s="174"/>
      <c r="L182" s="174"/>
      <c r="AA182" s="61">
        <f ca="1">COUNTBLANK(INDIRECT("C182"))</f>
        <v>1</v>
      </c>
      <c r="AB182" s="61">
        <f ca="1">COUNTBLANK(INDIRECT("D182"))</f>
        <v>1</v>
      </c>
      <c r="AC182" s="61">
        <f ca="1">COUNTBLANK(INDIRECT("e182"))</f>
        <v>1</v>
      </c>
      <c r="AD182" s="61">
        <f ca="1">COUNTBLANK(INDIRECT("f182"))</f>
        <v>1</v>
      </c>
      <c r="AE182" s="61">
        <f ca="1">COUNTBLANK(INDIRECT("g182"))</f>
        <v>1</v>
      </c>
      <c r="AF182" s="61">
        <f ca="1">COUNTBLANK(INDIRECT("h182"))</f>
        <v>1</v>
      </c>
      <c r="AG182" s="61">
        <f ca="1">COUNTBLANK(INDIRECT("b182"))</f>
        <v>1</v>
      </c>
    </row>
    <row r="183" spans="1:33" x14ac:dyDescent="0.25">
      <c r="A183" s="2">
        <v>3</v>
      </c>
      <c r="B183" s="63"/>
      <c r="C183" s="56"/>
      <c r="D183" s="56"/>
      <c r="E183" s="56"/>
      <c r="F183" s="56"/>
      <c r="G183" s="56"/>
      <c r="H183" s="56"/>
      <c r="I183" s="117" t="str">
        <f ca="1">IF(AND(INDIRECT("H183")&gt;=INDIRECT("F183"),AA183=0,AB183=0,AC183=0,AF183=0),"Yes",IF(AND(INDIRECT("H183")&lt;INDIRECT("F183"),AA183=0,AB183=0,AC183=0,AF183=0),"No","N/A"))</f>
        <v>N/A</v>
      </c>
      <c r="J183" s="174" t="str">
        <f t="shared" ca="1" si="11"/>
        <v>No Error</v>
      </c>
      <c r="K183" s="174"/>
      <c r="L183" s="174"/>
      <c r="AA183" s="61">
        <f ca="1">COUNTBLANK(INDIRECT("C183"))</f>
        <v>1</v>
      </c>
      <c r="AB183" s="61">
        <f ca="1">COUNTBLANK(INDIRECT("D183"))</f>
        <v>1</v>
      </c>
      <c r="AC183" s="61">
        <f ca="1">COUNTBLANK(INDIRECT("e183"))</f>
        <v>1</v>
      </c>
      <c r="AD183" s="61">
        <f ca="1">COUNTBLANK(INDIRECT("f183"))</f>
        <v>1</v>
      </c>
      <c r="AE183" s="61">
        <f ca="1">COUNTBLANK(INDIRECT("g183"))</f>
        <v>1</v>
      </c>
      <c r="AF183" s="61">
        <f ca="1">COUNTBLANK(INDIRECT("h183"))</f>
        <v>1</v>
      </c>
      <c r="AG183" s="61">
        <f ca="1">COUNTBLANK(INDIRECT("b183"))</f>
        <v>1</v>
      </c>
    </row>
    <row r="184" spans="1:33" x14ac:dyDescent="0.25">
      <c r="A184" s="2">
        <v>4</v>
      </c>
      <c r="B184" s="63"/>
      <c r="C184" s="56"/>
      <c r="D184" s="56"/>
      <c r="E184" s="56"/>
      <c r="F184" s="56"/>
      <c r="G184" s="56"/>
      <c r="H184" s="56"/>
      <c r="I184" s="117" t="str">
        <f ca="1">IF(AND(INDIRECT("H184")&gt;=INDIRECT("F184"),AA184=0,AB184=0,AC184=0,AF184=0),"Yes",IF(AND(INDIRECT("H184")&lt;INDIRECT("F184"),AA184=0,AB184=0,AC184=0,AF184=0),"No","N/A"))</f>
        <v>N/A</v>
      </c>
      <c r="J184" s="174" t="str">
        <f t="shared" ca="1" si="11"/>
        <v>No Error</v>
      </c>
      <c r="K184" s="174"/>
      <c r="L184" s="174"/>
      <c r="AA184" s="61">
        <f ca="1">COUNTBLANK(INDIRECT("C184"))</f>
        <v>1</v>
      </c>
      <c r="AB184" s="61">
        <f ca="1">COUNTBLANK(INDIRECT("D184"))</f>
        <v>1</v>
      </c>
      <c r="AC184" s="61">
        <f ca="1">COUNTBLANK(INDIRECT("e184"))</f>
        <v>1</v>
      </c>
      <c r="AD184" s="61">
        <f ca="1">COUNTBLANK(INDIRECT("f184"))</f>
        <v>1</v>
      </c>
      <c r="AE184" s="61">
        <f ca="1">COUNTBLANK(INDIRECT("g184"))</f>
        <v>1</v>
      </c>
      <c r="AF184" s="61">
        <f ca="1">COUNTBLANK(INDIRECT("h184"))</f>
        <v>1</v>
      </c>
      <c r="AG184" s="61">
        <f ca="1">COUNTBLANK(INDIRECT("b184"))</f>
        <v>1</v>
      </c>
    </row>
    <row r="185" spans="1:33" x14ac:dyDescent="0.25">
      <c r="A185" s="2">
        <v>5</v>
      </c>
      <c r="B185" s="63"/>
      <c r="C185" s="56"/>
      <c r="D185" s="56"/>
      <c r="E185" s="56"/>
      <c r="F185" s="56"/>
      <c r="G185" s="56"/>
      <c r="H185" s="56"/>
      <c r="I185" s="117" t="str">
        <f ca="1">IF(AND(INDIRECT("H185")&gt;=INDIRECT("F185"),AA185=0,AB185=0,AC185=0,AF185=0),"Yes",IF(AND(INDIRECT("H185")&lt;INDIRECT("F185"),AA185=0,AB185=0,AC185=0,AF185=0),"No","N/A"))</f>
        <v>N/A</v>
      </c>
      <c r="J185" s="174" t="str">
        <f t="shared" ca="1" si="11"/>
        <v>No Error</v>
      </c>
      <c r="K185" s="174"/>
      <c r="L185" s="174"/>
      <c r="AA185" s="61">
        <f ca="1">COUNTBLANK(INDIRECT("C185"))</f>
        <v>1</v>
      </c>
      <c r="AB185" s="61">
        <f ca="1">COUNTBLANK(INDIRECT("D185"))</f>
        <v>1</v>
      </c>
      <c r="AC185" s="61">
        <f ca="1">COUNTBLANK(INDIRECT("e185"))</f>
        <v>1</v>
      </c>
      <c r="AD185" s="61">
        <f ca="1">COUNTBLANK(INDIRECT("f185"))</f>
        <v>1</v>
      </c>
      <c r="AE185" s="61">
        <f ca="1">COUNTBLANK(INDIRECT("g185"))</f>
        <v>1</v>
      </c>
      <c r="AF185" s="61">
        <f ca="1">COUNTBLANK(INDIRECT("h185"))</f>
        <v>1</v>
      </c>
      <c r="AG185" s="61">
        <f ca="1">COUNTBLANK(INDIRECT("b185"))</f>
        <v>1</v>
      </c>
    </row>
    <row r="186" spans="1:33" x14ac:dyDescent="0.25">
      <c r="A186" s="2">
        <v>6</v>
      </c>
      <c r="B186" s="63"/>
      <c r="C186" s="56"/>
      <c r="D186" s="56"/>
      <c r="E186" s="56"/>
      <c r="F186" s="56"/>
      <c r="G186" s="56"/>
      <c r="H186" s="56"/>
      <c r="I186" s="117" t="str">
        <f ca="1">IF(AND(INDIRECT("H186")&gt;=INDIRECT("F186"),AA186=0,AB186=0,AC186=0,AF186=0),"Yes",IF(AND(INDIRECT("H186")&lt;INDIRECT("F186"),AA186=0,AB186=0,AC186=0,AF186=0),"No","N/A"))</f>
        <v>N/A</v>
      </c>
      <c r="J186" s="174" t="str">
        <f t="shared" ca="1" si="11"/>
        <v>No Error</v>
      </c>
      <c r="K186" s="174"/>
      <c r="L186" s="174"/>
      <c r="AA186" s="61">
        <f ca="1">COUNTBLANK(INDIRECT("C186"))</f>
        <v>1</v>
      </c>
      <c r="AB186" s="61">
        <f ca="1">COUNTBLANK(INDIRECT("D186"))</f>
        <v>1</v>
      </c>
      <c r="AC186" s="61">
        <f ca="1">COUNTBLANK(INDIRECT("e186"))</f>
        <v>1</v>
      </c>
      <c r="AD186" s="61">
        <f ca="1">COUNTBLANK(INDIRECT("f186"))</f>
        <v>1</v>
      </c>
      <c r="AE186" s="61">
        <f ca="1">COUNTBLANK(INDIRECT("g186"))</f>
        <v>1</v>
      </c>
      <c r="AF186" s="61">
        <f ca="1">COUNTBLANK(INDIRECT("h186"))</f>
        <v>1</v>
      </c>
      <c r="AG186" s="61">
        <f ca="1">COUNTBLANK(INDIRECT("b186"))</f>
        <v>1</v>
      </c>
    </row>
    <row r="187" spans="1:33" x14ac:dyDescent="0.25">
      <c r="A187" s="2">
        <v>7</v>
      </c>
      <c r="B187" s="63"/>
      <c r="C187" s="56"/>
      <c r="D187" s="56"/>
      <c r="E187" s="56"/>
      <c r="F187" s="56"/>
      <c r="G187" s="56"/>
      <c r="H187" s="56"/>
      <c r="I187" s="117" t="str">
        <f ca="1">IF(AND(INDIRECT("H187")&gt;=INDIRECT("F187"),AA187=0,AB187=0,AC187=0,AF187=0),"Yes",IF(AND(INDIRECT("H187")&lt;INDIRECT("F187"),AA187=0,AB187=0,AC187=0,AF187=0),"No","N/A"))</f>
        <v>N/A</v>
      </c>
      <c r="J187" s="174" t="str">
        <f t="shared" ca="1" si="11"/>
        <v>No Error</v>
      </c>
      <c r="K187" s="174"/>
      <c r="L187" s="174"/>
      <c r="AA187" s="61">
        <f ca="1">COUNTBLANK(INDIRECT("C187"))</f>
        <v>1</v>
      </c>
      <c r="AB187" s="61">
        <f ca="1">COUNTBLANK(INDIRECT("D187"))</f>
        <v>1</v>
      </c>
      <c r="AC187" s="61">
        <f ca="1">COUNTBLANK(INDIRECT("e187"))</f>
        <v>1</v>
      </c>
      <c r="AD187" s="61">
        <f ca="1">COUNTBLANK(INDIRECT("f187"))</f>
        <v>1</v>
      </c>
      <c r="AE187" s="61">
        <f ca="1">COUNTBLANK(INDIRECT("g187"))</f>
        <v>1</v>
      </c>
      <c r="AF187" s="61">
        <f ca="1">COUNTBLANK(INDIRECT("h187"))</f>
        <v>1</v>
      </c>
      <c r="AG187" s="61">
        <f ca="1">COUNTBLANK(INDIRECT("b187"))</f>
        <v>1</v>
      </c>
    </row>
    <row r="188" spans="1:33" x14ac:dyDescent="0.25">
      <c r="A188" s="2">
        <v>8</v>
      </c>
      <c r="B188" s="63"/>
      <c r="C188" s="56"/>
      <c r="D188" s="56"/>
      <c r="E188" s="56"/>
      <c r="F188" s="56"/>
      <c r="G188" s="56"/>
      <c r="H188" s="56"/>
      <c r="I188" s="117" t="str">
        <f ca="1">IF(AND(INDIRECT("H188")&gt;=INDIRECT("F188"),AA188=0,AB188=0,AC188=0,AF188=0),"Yes",IF(AND(INDIRECT("H188")&lt;INDIRECT("F188"),AA188=0,AB188=0,AC188=0,AF188=0),"No","N/A"))</f>
        <v>N/A</v>
      </c>
      <c r="J188" s="174" t="str">
        <f t="shared" ca="1" si="11"/>
        <v>No Error</v>
      </c>
      <c r="K188" s="174"/>
      <c r="L188" s="174"/>
      <c r="AA188" s="61">
        <f ca="1">COUNTBLANK(INDIRECT("C188"))</f>
        <v>1</v>
      </c>
      <c r="AB188" s="61">
        <f ca="1">COUNTBLANK(INDIRECT("D188"))</f>
        <v>1</v>
      </c>
      <c r="AC188" s="61">
        <f ca="1">COUNTBLANK(INDIRECT("e188"))</f>
        <v>1</v>
      </c>
      <c r="AD188" s="61">
        <f ca="1">COUNTBLANK(INDIRECT("f188"))</f>
        <v>1</v>
      </c>
      <c r="AE188" s="61">
        <f ca="1">COUNTBLANK(INDIRECT("g188"))</f>
        <v>1</v>
      </c>
      <c r="AF188" s="61">
        <f ca="1">COUNTBLANK(INDIRECT("h188"))</f>
        <v>1</v>
      </c>
      <c r="AG188" s="61">
        <f ca="1">COUNTBLANK(INDIRECT("b188"))</f>
        <v>1</v>
      </c>
    </row>
    <row r="189" spans="1:33" x14ac:dyDescent="0.25">
      <c r="A189" s="2">
        <v>9</v>
      </c>
      <c r="B189" s="63"/>
      <c r="C189" s="56"/>
      <c r="D189" s="56"/>
      <c r="E189" s="56"/>
      <c r="F189" s="56"/>
      <c r="G189" s="56"/>
      <c r="H189" s="56"/>
      <c r="I189" s="117" t="str">
        <f ca="1">IF(AND(INDIRECT("H189")&gt;=INDIRECT("F189"),AA189=0,AB189=0,AC189=0,AF189=0),"Yes",IF(AND(INDIRECT("H189")&lt;INDIRECT("F189"),AA189=0,AB189=0,AC189=0,AF189=0),"No","N/A"))</f>
        <v>N/A</v>
      </c>
      <c r="J189" s="174" t="str">
        <f t="shared" ca="1" si="11"/>
        <v>No Error</v>
      </c>
      <c r="K189" s="174"/>
      <c r="L189" s="174"/>
      <c r="AA189" s="61">
        <f ca="1">COUNTBLANK(INDIRECT("C189"))</f>
        <v>1</v>
      </c>
      <c r="AB189" s="61">
        <f ca="1">COUNTBLANK(INDIRECT("D189"))</f>
        <v>1</v>
      </c>
      <c r="AC189" s="61">
        <f ca="1">COUNTBLANK(INDIRECT("e189"))</f>
        <v>1</v>
      </c>
      <c r="AD189" s="61">
        <f ca="1">COUNTBLANK(INDIRECT("f189"))</f>
        <v>1</v>
      </c>
      <c r="AE189" s="61">
        <f ca="1">COUNTBLANK(INDIRECT("g189"))</f>
        <v>1</v>
      </c>
      <c r="AF189" s="61">
        <f ca="1">COUNTBLANK(INDIRECT("h189"))</f>
        <v>1</v>
      </c>
      <c r="AG189" s="61">
        <f ca="1">COUNTBLANK(INDIRECT("b189"))</f>
        <v>1</v>
      </c>
    </row>
    <row r="190" spans="1:33" x14ac:dyDescent="0.25">
      <c r="A190" s="2">
        <v>10</v>
      </c>
      <c r="B190" s="63"/>
      <c r="C190" s="56"/>
      <c r="D190" s="56"/>
      <c r="E190" s="56"/>
      <c r="F190" s="56"/>
      <c r="G190" s="56"/>
      <c r="H190" s="56"/>
      <c r="I190" s="117" t="str">
        <f ca="1">IF(AND(INDIRECT("H190")&gt;=INDIRECT("F190"),AA190=0,AB190=0,AC190=0,AF190=0),"Yes",IF(AND(INDIRECT("H190")&lt;INDIRECT("F190"),AA190=0,AB190=0,AC190=0,AF190=0),"No","N/A"))</f>
        <v>N/A</v>
      </c>
      <c r="J190" s="174" t="str">
        <f t="shared" ca="1" si="11"/>
        <v>No Error</v>
      </c>
      <c r="K190" s="174"/>
      <c r="L190" s="174"/>
      <c r="AA190" s="61">
        <f ca="1">COUNTBLANK(INDIRECT("C190"))</f>
        <v>1</v>
      </c>
      <c r="AB190" s="61">
        <f ca="1">COUNTBLANK(INDIRECT("D190"))</f>
        <v>1</v>
      </c>
      <c r="AC190" s="61">
        <f ca="1">COUNTBLANK(INDIRECT("e190"))</f>
        <v>1</v>
      </c>
      <c r="AD190" s="61">
        <f ca="1">COUNTBLANK(INDIRECT("f190"))</f>
        <v>1</v>
      </c>
      <c r="AE190" s="61">
        <f ca="1">COUNTBLANK(INDIRECT("g190"))</f>
        <v>1</v>
      </c>
      <c r="AF190" s="61">
        <f ca="1">COUNTBLANK(INDIRECT("h190"))</f>
        <v>1</v>
      </c>
      <c r="AG190" s="61">
        <f ca="1">COUNTBLANK(INDIRECT("b190"))</f>
        <v>1</v>
      </c>
    </row>
    <row r="191" spans="1:33" x14ac:dyDescent="0.25">
      <c r="A191" s="2">
        <v>11</v>
      </c>
      <c r="B191" s="63"/>
      <c r="C191" s="56"/>
      <c r="D191" s="56"/>
      <c r="E191" s="56"/>
      <c r="F191" s="56"/>
      <c r="G191" s="56"/>
      <c r="H191" s="56"/>
      <c r="I191" s="117" t="str">
        <f ca="1">IF(AND(INDIRECT("H191")&gt;=INDIRECT("F191"),AA191=0,AB191=0,AC191=0,AF191=0),"Yes",IF(AND(INDIRECT("H191")&lt;INDIRECT("F191"),AA191=0,AB191=0,AC191=0,AF191=0),"No","N/A"))</f>
        <v>N/A</v>
      </c>
      <c r="J191" s="174" t="str">
        <f t="shared" ca="1" si="11"/>
        <v>No Error</v>
      </c>
      <c r="K191" s="174"/>
      <c r="L191" s="174"/>
      <c r="AA191" s="61">
        <f ca="1">COUNTBLANK(INDIRECT("C191"))</f>
        <v>1</v>
      </c>
      <c r="AB191" s="61">
        <f ca="1">COUNTBLANK(INDIRECT("D191"))</f>
        <v>1</v>
      </c>
      <c r="AC191" s="61">
        <f ca="1">COUNTBLANK(INDIRECT("e191"))</f>
        <v>1</v>
      </c>
      <c r="AD191" s="61">
        <f ca="1">COUNTBLANK(INDIRECT("f191"))</f>
        <v>1</v>
      </c>
      <c r="AE191" s="61">
        <f ca="1">COUNTBLANK(INDIRECT("g191"))</f>
        <v>1</v>
      </c>
      <c r="AF191" s="61">
        <f ca="1">COUNTBLANK(INDIRECT("h191"))</f>
        <v>1</v>
      </c>
      <c r="AG191" s="61">
        <f ca="1">COUNTBLANK(INDIRECT("b191"))</f>
        <v>1</v>
      </c>
    </row>
    <row r="192" spans="1:33" x14ac:dyDescent="0.25">
      <c r="A192" s="2">
        <v>12</v>
      </c>
      <c r="B192" s="63"/>
      <c r="C192" s="56"/>
      <c r="D192" s="56"/>
      <c r="E192" s="56"/>
      <c r="F192" s="56"/>
      <c r="G192" s="56"/>
      <c r="H192" s="56"/>
      <c r="I192" s="117" t="str">
        <f ca="1">IF(AND(INDIRECT("H192")&gt;=INDIRECT("F192"),AA192=0,AB192=0,AC192=0,AF192=0),"Yes",IF(AND(INDIRECT("H192")&lt;INDIRECT("F192"),AA192=0,AB192=0,AC192=0,AF192=0),"No","N/A"))</f>
        <v>N/A</v>
      </c>
      <c r="J192" s="174" t="str">
        <f t="shared" ca="1" si="11"/>
        <v>No Error</v>
      </c>
      <c r="K192" s="174"/>
      <c r="L192" s="174"/>
      <c r="AA192" s="61">
        <f ca="1">COUNTBLANK(INDIRECT("C192"))</f>
        <v>1</v>
      </c>
      <c r="AB192" s="61">
        <f ca="1">COUNTBLANK(INDIRECT("D192"))</f>
        <v>1</v>
      </c>
      <c r="AC192" s="61">
        <f ca="1">COUNTBLANK(INDIRECT("e192"))</f>
        <v>1</v>
      </c>
      <c r="AD192" s="61">
        <f ca="1">COUNTBLANK(INDIRECT("f192"))</f>
        <v>1</v>
      </c>
      <c r="AE192" s="61">
        <f ca="1">COUNTBLANK(INDIRECT("g192"))</f>
        <v>1</v>
      </c>
      <c r="AF192" s="61">
        <f ca="1">COUNTBLANK(INDIRECT("h192"))</f>
        <v>1</v>
      </c>
      <c r="AG192" s="61">
        <f ca="1">COUNTBLANK(INDIRECT("b192"))</f>
        <v>1</v>
      </c>
    </row>
    <row r="193" spans="1:33" x14ac:dyDescent="0.25">
      <c r="A193" s="2">
        <v>13</v>
      </c>
      <c r="B193" s="63"/>
      <c r="C193" s="56"/>
      <c r="D193" s="56"/>
      <c r="E193" s="56"/>
      <c r="F193" s="56"/>
      <c r="G193" s="56"/>
      <c r="H193" s="56"/>
      <c r="I193" s="117" t="str">
        <f ca="1">IF(AND(INDIRECT("H193")&gt;=INDIRECT("F193"),AA193=0,AB193=0,AC193=0,AF193=0),"Yes",IF(AND(INDIRECT("H193")&lt;INDIRECT("F193"),AA193=0,AB193=0,AC193=0,AF193=0),"No","N/A"))</f>
        <v>N/A</v>
      </c>
      <c r="J193" s="174" t="str">
        <f t="shared" ca="1" si="11"/>
        <v>No Error</v>
      </c>
      <c r="K193" s="174"/>
      <c r="L193" s="174"/>
      <c r="AA193" s="61">
        <f ca="1">COUNTBLANK(INDIRECT("C193"))</f>
        <v>1</v>
      </c>
      <c r="AB193" s="61">
        <f ca="1">COUNTBLANK(INDIRECT("D193"))</f>
        <v>1</v>
      </c>
      <c r="AC193" s="61">
        <f ca="1">COUNTBLANK(INDIRECT("e193"))</f>
        <v>1</v>
      </c>
      <c r="AD193" s="61">
        <f ca="1">COUNTBLANK(INDIRECT("f193"))</f>
        <v>1</v>
      </c>
      <c r="AE193" s="61">
        <f ca="1">COUNTBLANK(INDIRECT("g193"))</f>
        <v>1</v>
      </c>
      <c r="AF193" s="61">
        <f ca="1">COUNTBLANK(INDIRECT("h193"))</f>
        <v>1</v>
      </c>
      <c r="AG193" s="61">
        <f ca="1">COUNTBLANK(INDIRECT("b193"))</f>
        <v>1</v>
      </c>
    </row>
    <row r="194" spans="1:33" x14ac:dyDescent="0.25">
      <c r="A194" s="2">
        <v>14</v>
      </c>
      <c r="B194" s="63"/>
      <c r="C194" s="56"/>
      <c r="D194" s="56"/>
      <c r="E194" s="56"/>
      <c r="F194" s="56"/>
      <c r="G194" s="56"/>
      <c r="H194" s="56"/>
      <c r="I194" s="117" t="str">
        <f ca="1">IF(AND(INDIRECT("H194")&gt;=INDIRECT("F194"),AA194=0,AB194=0,AC194=0,AF194=0),"Yes",IF(AND(INDIRECT("H194")&lt;INDIRECT("F194"),AA194=0,AB194=0,AC194=0,AF194=0),"No","N/A"))</f>
        <v>N/A</v>
      </c>
      <c r="J194" s="174" t="str">
        <f t="shared" ca="1" si="11"/>
        <v>No Error</v>
      </c>
      <c r="K194" s="174"/>
      <c r="L194" s="174"/>
      <c r="AA194" s="61">
        <f ca="1">COUNTBLANK(INDIRECT("C194"))</f>
        <v>1</v>
      </c>
      <c r="AB194" s="61">
        <f ca="1">COUNTBLANK(INDIRECT("D194"))</f>
        <v>1</v>
      </c>
      <c r="AC194" s="61">
        <f ca="1">COUNTBLANK(INDIRECT("e194"))</f>
        <v>1</v>
      </c>
      <c r="AD194" s="61">
        <f ca="1">COUNTBLANK(INDIRECT("f194"))</f>
        <v>1</v>
      </c>
      <c r="AE194" s="61">
        <f ca="1">COUNTBLANK(INDIRECT("g194"))</f>
        <v>1</v>
      </c>
      <c r="AF194" s="61">
        <f ca="1">COUNTBLANK(INDIRECT("h194"))</f>
        <v>1</v>
      </c>
      <c r="AG194" s="61">
        <f ca="1">COUNTBLANK(INDIRECT("b194"))</f>
        <v>1</v>
      </c>
    </row>
    <row r="195" spans="1:33" x14ac:dyDescent="0.25">
      <c r="A195" s="2">
        <v>15</v>
      </c>
      <c r="B195" s="63"/>
      <c r="C195" s="56"/>
      <c r="D195" s="56"/>
      <c r="E195" s="56"/>
      <c r="F195" s="56"/>
      <c r="G195" s="56"/>
      <c r="H195" s="56"/>
      <c r="I195" s="117" t="str">
        <f ca="1">IF(AND(INDIRECT("H195")&gt;=INDIRECT("F195"),AA195=0,AB195=0,AC195=0,AF195=0),"Yes",IF(AND(INDIRECT("H195")&lt;INDIRECT("F195"),AA195=0,AB195=0,AC195=0,AF195=0),"No","N/A"))</f>
        <v>N/A</v>
      </c>
      <c r="J195" s="174" t="str">
        <f t="shared" ca="1" si="11"/>
        <v>No Error</v>
      </c>
      <c r="K195" s="174"/>
      <c r="L195" s="174"/>
      <c r="AA195" s="61">
        <f ca="1">COUNTBLANK(INDIRECT("C195"))</f>
        <v>1</v>
      </c>
      <c r="AB195" s="61">
        <f ca="1">COUNTBLANK(INDIRECT("D195"))</f>
        <v>1</v>
      </c>
      <c r="AC195" s="61">
        <f ca="1">COUNTBLANK(INDIRECT("e195"))</f>
        <v>1</v>
      </c>
      <c r="AD195" s="61">
        <f ca="1">COUNTBLANK(INDIRECT("f195"))</f>
        <v>1</v>
      </c>
      <c r="AE195" s="61">
        <f ca="1">COUNTBLANK(INDIRECT("g195"))</f>
        <v>1</v>
      </c>
      <c r="AF195" s="61">
        <f ca="1">COUNTBLANK(INDIRECT("h195"))</f>
        <v>1</v>
      </c>
      <c r="AG195" s="61">
        <f ca="1">COUNTBLANK(INDIRECT("b195"))</f>
        <v>1</v>
      </c>
    </row>
    <row r="196" spans="1:33" x14ac:dyDescent="0.25">
      <c r="A196" s="2">
        <v>16</v>
      </c>
      <c r="B196" s="63"/>
      <c r="C196" s="56"/>
      <c r="D196" s="56"/>
      <c r="E196" s="56"/>
      <c r="F196" s="56"/>
      <c r="G196" s="56"/>
      <c r="H196" s="56"/>
      <c r="I196" s="117" t="str">
        <f ca="1">IF(AND(INDIRECT("H196")&gt;=INDIRECT("F196"),AA196=0,AB196=0,AC196=0,AF196=0),"Yes",IF(AND(INDIRECT("H196")&lt;INDIRECT("F196"),AA196=0,AB196=0,AC196=0,AF196=0),"No","N/A"))</f>
        <v>N/A</v>
      </c>
      <c r="J196" s="174" t="str">
        <f t="shared" ca="1" si="11"/>
        <v>No Error</v>
      </c>
      <c r="K196" s="174"/>
      <c r="L196" s="174"/>
      <c r="AA196" s="61">
        <f ca="1">COUNTBLANK(INDIRECT("C196"))</f>
        <v>1</v>
      </c>
      <c r="AB196" s="61">
        <f ca="1">COUNTBLANK(INDIRECT("D196"))</f>
        <v>1</v>
      </c>
      <c r="AC196" s="61">
        <f ca="1">COUNTBLANK(INDIRECT("e196"))</f>
        <v>1</v>
      </c>
      <c r="AD196" s="61">
        <f ca="1">COUNTBLANK(INDIRECT("f196"))</f>
        <v>1</v>
      </c>
      <c r="AE196" s="61">
        <f ca="1">COUNTBLANK(INDIRECT("g196"))</f>
        <v>1</v>
      </c>
      <c r="AF196" s="61">
        <f ca="1">COUNTBLANK(INDIRECT("h196"))</f>
        <v>1</v>
      </c>
      <c r="AG196" s="61">
        <f ca="1">COUNTBLANK(INDIRECT("b196"))</f>
        <v>1</v>
      </c>
    </row>
    <row r="197" spans="1:33" x14ac:dyDescent="0.25">
      <c r="A197" s="2">
        <v>17</v>
      </c>
      <c r="B197" s="63"/>
      <c r="C197" s="56"/>
      <c r="D197" s="56"/>
      <c r="E197" s="56"/>
      <c r="F197" s="56"/>
      <c r="G197" s="56"/>
      <c r="H197" s="56"/>
      <c r="I197" s="117" t="str">
        <f ca="1">IF(AND(INDIRECT("H197")&gt;=INDIRECT("F197"),AA197=0,AB197=0,AC197=0,AF197=0),"Yes",IF(AND(INDIRECT("H197")&lt;INDIRECT("F197"),AA197=0,AB197=0,AC197=0,AF197=0),"No","N/A"))</f>
        <v>N/A</v>
      </c>
      <c r="J197" s="174" t="str">
        <f t="shared" ca="1" si="11"/>
        <v>No Error</v>
      </c>
      <c r="K197" s="174"/>
      <c r="L197" s="174"/>
      <c r="AA197" s="61">
        <f ca="1">COUNTBLANK(INDIRECT("C197"))</f>
        <v>1</v>
      </c>
      <c r="AB197" s="61">
        <f ca="1">COUNTBLANK(INDIRECT("D197"))</f>
        <v>1</v>
      </c>
      <c r="AC197" s="61">
        <f ca="1">COUNTBLANK(INDIRECT("e197"))</f>
        <v>1</v>
      </c>
      <c r="AD197" s="61">
        <f ca="1">COUNTBLANK(INDIRECT("f197"))</f>
        <v>1</v>
      </c>
      <c r="AE197" s="61">
        <f ca="1">COUNTBLANK(INDIRECT("g197"))</f>
        <v>1</v>
      </c>
      <c r="AF197" s="61">
        <f ca="1">COUNTBLANK(INDIRECT("h197"))</f>
        <v>1</v>
      </c>
      <c r="AG197" s="61">
        <f ca="1">COUNTBLANK(INDIRECT("b197"))</f>
        <v>1</v>
      </c>
    </row>
    <row r="198" spans="1:33" x14ac:dyDescent="0.25">
      <c r="A198" s="2">
        <v>18</v>
      </c>
      <c r="B198" s="63"/>
      <c r="C198" s="56"/>
      <c r="D198" s="56"/>
      <c r="E198" s="56"/>
      <c r="F198" s="56"/>
      <c r="G198" s="56"/>
      <c r="H198" s="56"/>
      <c r="I198" s="117" t="str">
        <f ca="1">IF(AND(INDIRECT("H198")&gt;=INDIRECT("F198"),AA198=0,AB198=0,AC198=0,AF198=0),"Yes",IF(AND(INDIRECT("H198")&lt;INDIRECT("F198"),AA198=0,AB198=0,AC198=0,AF198=0),"No","N/A"))</f>
        <v>N/A</v>
      </c>
      <c r="J198" s="174" t="str">
        <f t="shared" ca="1" si="11"/>
        <v>No Error</v>
      </c>
      <c r="K198" s="174"/>
      <c r="L198" s="174"/>
      <c r="AA198" s="61">
        <f ca="1">COUNTBLANK(INDIRECT("C198"))</f>
        <v>1</v>
      </c>
      <c r="AB198" s="61">
        <f ca="1">COUNTBLANK(INDIRECT("D198"))</f>
        <v>1</v>
      </c>
      <c r="AC198" s="61">
        <f ca="1">COUNTBLANK(INDIRECT("e198"))</f>
        <v>1</v>
      </c>
      <c r="AD198" s="61">
        <f ca="1">COUNTBLANK(INDIRECT("f198"))</f>
        <v>1</v>
      </c>
      <c r="AE198" s="61">
        <f ca="1">COUNTBLANK(INDIRECT("g198"))</f>
        <v>1</v>
      </c>
      <c r="AF198" s="61">
        <f ca="1">COUNTBLANK(INDIRECT("h198"))</f>
        <v>1</v>
      </c>
      <c r="AG198" s="61">
        <f ca="1">COUNTBLANK(INDIRECT("b198"))</f>
        <v>1</v>
      </c>
    </row>
    <row r="199" spans="1:33" x14ac:dyDescent="0.25">
      <c r="A199" s="2">
        <v>19</v>
      </c>
      <c r="B199" s="63"/>
      <c r="C199" s="56"/>
      <c r="D199" s="56"/>
      <c r="E199" s="56"/>
      <c r="F199" s="56"/>
      <c r="G199" s="56"/>
      <c r="H199" s="56"/>
      <c r="I199" s="117" t="str">
        <f ca="1">IF(AND(INDIRECT("H199")&gt;=INDIRECT("F199"),AA199=0,AB199=0,AC199=0,AF199=0),"Yes",IF(AND(INDIRECT("H199")&lt;INDIRECT("F199"),AA199=0,AB199=0,AC199=0,AF199=0),"No","N/A"))</f>
        <v>N/A</v>
      </c>
      <c r="J199" s="174" t="str">
        <f t="shared" ca="1" si="11"/>
        <v>No Error</v>
      </c>
      <c r="K199" s="174"/>
      <c r="L199" s="174"/>
      <c r="AA199" s="61">
        <f ca="1">COUNTBLANK(INDIRECT("C199"))</f>
        <v>1</v>
      </c>
      <c r="AB199" s="61">
        <f ca="1">COUNTBLANK(INDIRECT("D199"))</f>
        <v>1</v>
      </c>
      <c r="AC199" s="61">
        <f ca="1">COUNTBLANK(INDIRECT("e199"))</f>
        <v>1</v>
      </c>
      <c r="AD199" s="61">
        <f ca="1">COUNTBLANK(INDIRECT("f199"))</f>
        <v>1</v>
      </c>
      <c r="AE199" s="61">
        <f ca="1">COUNTBLANK(INDIRECT("g199"))</f>
        <v>1</v>
      </c>
      <c r="AF199" s="61">
        <f ca="1">COUNTBLANK(INDIRECT("h199"))</f>
        <v>1</v>
      </c>
      <c r="AG199" s="61">
        <f ca="1">COUNTBLANK(INDIRECT("b199"))</f>
        <v>1</v>
      </c>
    </row>
    <row r="200" spans="1:33" x14ac:dyDescent="0.25">
      <c r="A200" s="2">
        <v>20</v>
      </c>
      <c r="B200" s="63"/>
      <c r="C200" s="56"/>
      <c r="D200" s="56"/>
      <c r="E200" s="56"/>
      <c r="F200" s="56"/>
      <c r="G200" s="56"/>
      <c r="H200" s="56"/>
      <c r="I200" s="117" t="str">
        <f ca="1">IF(AND(INDIRECT("H200")&gt;=INDIRECT("F200"),AA200=0,AB200=0,AC200=0,AF200=0),"Yes",IF(AND(INDIRECT("H200")&lt;INDIRECT("F200"),AA200=0,AB200=0,AC200=0,AF200=0),"No","N/A"))</f>
        <v>N/A</v>
      </c>
      <c r="J200" s="174" t="str">
        <f t="shared" ca="1" si="11"/>
        <v>No Error</v>
      </c>
      <c r="K200" s="174"/>
      <c r="L200" s="174"/>
      <c r="AA200" s="61">
        <f ca="1">COUNTBLANK(INDIRECT("C200"))</f>
        <v>1</v>
      </c>
      <c r="AB200" s="61">
        <f ca="1">COUNTBLANK(INDIRECT("D200"))</f>
        <v>1</v>
      </c>
      <c r="AC200" s="61">
        <f ca="1">COUNTBLANK(INDIRECT("e200"))</f>
        <v>1</v>
      </c>
      <c r="AD200" s="61">
        <f ca="1">COUNTBLANK(INDIRECT("f200"))</f>
        <v>1</v>
      </c>
      <c r="AE200" s="61">
        <f ca="1">COUNTBLANK(INDIRECT("g200"))</f>
        <v>1</v>
      </c>
      <c r="AF200" s="61">
        <f ca="1">COUNTBLANK(INDIRECT("h200"))</f>
        <v>1</v>
      </c>
      <c r="AG200" s="61">
        <f ca="1">COUNTBLANK(INDIRECT("b200"))</f>
        <v>1</v>
      </c>
    </row>
    <row r="201" spans="1:33" x14ac:dyDescent="0.25">
      <c r="A201" s="2">
        <v>21</v>
      </c>
      <c r="B201" s="63"/>
      <c r="C201" s="56"/>
      <c r="D201" s="56"/>
      <c r="E201" s="56"/>
      <c r="F201" s="56"/>
      <c r="G201" s="56"/>
      <c r="H201" s="56"/>
      <c r="I201" s="117" t="str">
        <f ca="1">IF(AND(INDIRECT("H201")&gt;=INDIRECT("F201"),AA201=0,AB201=0,AC201=0,AF201=0),"Yes",IF(AND(INDIRECT("H201")&lt;INDIRECT("F201"),AA201=0,AB201=0,AC201=0,AF201=0),"No","N/A"))</f>
        <v>N/A</v>
      </c>
      <c r="J201" s="174" t="str">
        <f t="shared" ca="1" si="11"/>
        <v>No Error</v>
      </c>
      <c r="K201" s="174"/>
      <c r="L201" s="174"/>
      <c r="AA201" s="61">
        <f ca="1">COUNTBLANK(INDIRECT("C201"))</f>
        <v>1</v>
      </c>
      <c r="AB201" s="61">
        <f ca="1">COUNTBLANK(INDIRECT("D201"))</f>
        <v>1</v>
      </c>
      <c r="AC201" s="61">
        <f ca="1">COUNTBLANK(INDIRECT("e201"))</f>
        <v>1</v>
      </c>
      <c r="AD201" s="61">
        <f ca="1">COUNTBLANK(INDIRECT("f201"))</f>
        <v>1</v>
      </c>
      <c r="AE201" s="61">
        <f ca="1">COUNTBLANK(INDIRECT("g201"))</f>
        <v>1</v>
      </c>
      <c r="AF201" s="61">
        <f ca="1">COUNTBLANK(INDIRECT("h201"))</f>
        <v>1</v>
      </c>
      <c r="AG201" s="61">
        <f ca="1">COUNTBLANK(INDIRECT("b201"))</f>
        <v>1</v>
      </c>
    </row>
    <row r="202" spans="1:33" x14ac:dyDescent="0.25">
      <c r="A202" s="2">
        <v>22</v>
      </c>
      <c r="B202" s="63"/>
      <c r="C202" s="56"/>
      <c r="D202" s="56"/>
      <c r="E202" s="56"/>
      <c r="F202" s="56"/>
      <c r="G202" s="56"/>
      <c r="H202" s="56"/>
      <c r="I202" s="117" t="str">
        <f ca="1">IF(AND(INDIRECT("H202")&gt;=INDIRECT("F202"),AA202=0,AB202=0,AC202=0,AF202=0),"Yes",IF(AND(INDIRECT("H202")&lt;INDIRECT("F202"),AA202=0,AB202=0,AC202=0,AF202=0),"No","N/A"))</f>
        <v>N/A</v>
      </c>
      <c r="J202" s="174" t="str">
        <f t="shared" ca="1" si="11"/>
        <v>No Error</v>
      </c>
      <c r="K202" s="174"/>
      <c r="L202" s="174"/>
      <c r="AA202" s="61">
        <f ca="1">COUNTBLANK(INDIRECT("C202"))</f>
        <v>1</v>
      </c>
      <c r="AB202" s="61">
        <f ca="1">COUNTBLANK(INDIRECT("D202"))</f>
        <v>1</v>
      </c>
      <c r="AC202" s="61">
        <f ca="1">COUNTBLANK(INDIRECT("e202"))</f>
        <v>1</v>
      </c>
      <c r="AD202" s="61">
        <f ca="1">COUNTBLANK(INDIRECT("f202"))</f>
        <v>1</v>
      </c>
      <c r="AE202" s="61">
        <f ca="1">COUNTBLANK(INDIRECT("g202"))</f>
        <v>1</v>
      </c>
      <c r="AF202" s="61">
        <f ca="1">COUNTBLANK(INDIRECT("h202"))</f>
        <v>1</v>
      </c>
      <c r="AG202" s="61">
        <f ca="1">COUNTBLANK(INDIRECT("b202"))</f>
        <v>1</v>
      </c>
    </row>
    <row r="203" spans="1:33" x14ac:dyDescent="0.25">
      <c r="A203" s="2">
        <v>23</v>
      </c>
      <c r="B203" s="63"/>
      <c r="C203" s="56"/>
      <c r="D203" s="56"/>
      <c r="E203" s="56"/>
      <c r="F203" s="56"/>
      <c r="G203" s="56"/>
      <c r="H203" s="56"/>
      <c r="I203" s="117" t="str">
        <f ca="1">IF(AND(INDIRECT("H203")&gt;=INDIRECT("F203"),AA203=0,AB203=0,AC203=0,AF203=0),"Yes",IF(AND(INDIRECT("H203")&lt;INDIRECT("F203"),AA203=0,AB203=0,AC203=0,AF203=0),"No","N/A"))</f>
        <v>N/A</v>
      </c>
      <c r="J203" s="174" t="str">
        <f t="shared" ca="1" si="11"/>
        <v>No Error</v>
      </c>
      <c r="K203" s="174"/>
      <c r="L203" s="174"/>
      <c r="AA203" s="61">
        <f ca="1">COUNTBLANK(INDIRECT("C203"))</f>
        <v>1</v>
      </c>
      <c r="AB203" s="61">
        <f ca="1">COUNTBLANK(INDIRECT("D203"))</f>
        <v>1</v>
      </c>
      <c r="AC203" s="61">
        <f ca="1">COUNTBLANK(INDIRECT("e203"))</f>
        <v>1</v>
      </c>
      <c r="AD203" s="61">
        <f ca="1">COUNTBLANK(INDIRECT("f203"))</f>
        <v>1</v>
      </c>
      <c r="AE203" s="61">
        <f ca="1">COUNTBLANK(INDIRECT("g203"))</f>
        <v>1</v>
      </c>
      <c r="AF203" s="61">
        <f ca="1">COUNTBLANK(INDIRECT("h203"))</f>
        <v>1</v>
      </c>
      <c r="AG203" s="61">
        <f ca="1">COUNTBLANK(INDIRECT("b203"))</f>
        <v>1</v>
      </c>
    </row>
    <row r="204" spans="1:33" x14ac:dyDescent="0.25">
      <c r="A204" s="2">
        <v>24</v>
      </c>
      <c r="B204" s="63"/>
      <c r="C204" s="56"/>
      <c r="D204" s="56"/>
      <c r="E204" s="56"/>
      <c r="F204" s="56"/>
      <c r="G204" s="56"/>
      <c r="H204" s="56"/>
      <c r="I204" s="117" t="str">
        <f ca="1">IF(AND(INDIRECT("H204")&gt;=INDIRECT("F204"),AA204=0,AB204=0,AC204=0,AF204=0),"Yes",IF(AND(INDIRECT("H204")&lt;INDIRECT("F204"),AA204=0,AB204=0,AC204=0,AF204=0),"No","N/A"))</f>
        <v>N/A</v>
      </c>
      <c r="J204" s="174" t="str">
        <f t="shared" ca="1" si="11"/>
        <v>No Error</v>
      </c>
      <c r="K204" s="174"/>
      <c r="L204" s="174"/>
      <c r="AA204" s="61">
        <f ca="1">COUNTBLANK(INDIRECT("C204"))</f>
        <v>1</v>
      </c>
      <c r="AB204" s="61">
        <f ca="1">COUNTBLANK(INDIRECT("D204"))</f>
        <v>1</v>
      </c>
      <c r="AC204" s="61">
        <f ca="1">COUNTBLANK(INDIRECT("e204"))</f>
        <v>1</v>
      </c>
      <c r="AD204" s="61">
        <f ca="1">COUNTBLANK(INDIRECT("f204"))</f>
        <v>1</v>
      </c>
      <c r="AE204" s="61">
        <f ca="1">COUNTBLANK(INDIRECT("g204"))</f>
        <v>1</v>
      </c>
      <c r="AF204" s="61">
        <f ca="1">COUNTBLANK(INDIRECT("h204"))</f>
        <v>1</v>
      </c>
      <c r="AG204" s="61">
        <f ca="1">COUNTBLANK(INDIRECT("b204"))</f>
        <v>1</v>
      </c>
    </row>
    <row r="205" spans="1:33" x14ac:dyDescent="0.25">
      <c r="A205" s="2">
        <v>25</v>
      </c>
      <c r="B205" s="63"/>
      <c r="C205" s="56"/>
      <c r="D205" s="56"/>
      <c r="E205" s="56"/>
      <c r="F205" s="56"/>
      <c r="G205" s="56"/>
      <c r="H205" s="56"/>
      <c r="I205" s="117" t="str">
        <f ca="1">IF(AND(INDIRECT("H205")&gt;=INDIRECT("F205"),AA205=0,AB205=0,AC205=0,AF205=0),"Yes",IF(AND(INDIRECT("H205")&lt;INDIRECT("F205"),AA205=0,AB205=0,AC205=0,AF205=0),"No","N/A"))</f>
        <v>N/A</v>
      </c>
      <c r="J205" s="174" t="str">
        <f t="shared" ca="1" si="11"/>
        <v>No Error</v>
      </c>
      <c r="K205" s="174"/>
      <c r="L205" s="174"/>
      <c r="AA205" s="61">
        <f ca="1">COUNTBLANK(INDIRECT("C205"))</f>
        <v>1</v>
      </c>
      <c r="AB205" s="61">
        <f ca="1">COUNTBLANK(INDIRECT("D205"))</f>
        <v>1</v>
      </c>
      <c r="AC205" s="61">
        <f ca="1">COUNTBLANK(INDIRECT("e205"))</f>
        <v>1</v>
      </c>
      <c r="AD205" s="61">
        <f ca="1">COUNTBLANK(INDIRECT("f205"))</f>
        <v>1</v>
      </c>
      <c r="AE205" s="61">
        <f ca="1">COUNTBLANK(INDIRECT("g205"))</f>
        <v>1</v>
      </c>
      <c r="AF205" s="61">
        <f ca="1">COUNTBLANK(INDIRECT("h205"))</f>
        <v>1</v>
      </c>
      <c r="AG205" s="61">
        <f ca="1">COUNTBLANK(INDIRECT("b205"))</f>
        <v>1</v>
      </c>
    </row>
    <row r="206" spans="1:33" x14ac:dyDescent="0.25">
      <c r="A206" s="2">
        <v>26</v>
      </c>
      <c r="B206" s="63"/>
      <c r="C206" s="56"/>
      <c r="D206" s="56"/>
      <c r="E206" s="56"/>
      <c r="F206" s="56"/>
      <c r="G206" s="56"/>
      <c r="H206" s="56"/>
      <c r="I206" s="117" t="str">
        <f ca="1">IF(AND(INDIRECT("H206")&gt;=INDIRECT("F206"),AA206=0,AB206=0,AC206=0,AF206=0),"Yes",IF(AND(INDIRECT("H206")&lt;INDIRECT("F206"),AA206=0,AB206=0,AC206=0,AF206=0),"No","N/A"))</f>
        <v>N/A</v>
      </c>
      <c r="J206" s="174" t="str">
        <f t="shared" ca="1" si="11"/>
        <v>No Error</v>
      </c>
      <c r="K206" s="174"/>
      <c r="L206" s="174"/>
      <c r="AA206" s="61">
        <f ca="1">COUNTBLANK(INDIRECT("C206"))</f>
        <v>1</v>
      </c>
      <c r="AB206" s="61">
        <f ca="1">COUNTBLANK(INDIRECT("D206"))</f>
        <v>1</v>
      </c>
      <c r="AC206" s="61">
        <f ca="1">COUNTBLANK(INDIRECT("e206"))</f>
        <v>1</v>
      </c>
      <c r="AD206" s="61">
        <f ca="1">COUNTBLANK(INDIRECT("f206"))</f>
        <v>1</v>
      </c>
      <c r="AE206" s="61">
        <f ca="1">COUNTBLANK(INDIRECT("g206"))</f>
        <v>1</v>
      </c>
      <c r="AF206" s="61">
        <f ca="1">COUNTBLANK(INDIRECT("h206"))</f>
        <v>1</v>
      </c>
      <c r="AG206" s="61">
        <f ca="1">COUNTBLANK(INDIRECT("b206"))</f>
        <v>1</v>
      </c>
    </row>
    <row r="207" spans="1:33" x14ac:dyDescent="0.25">
      <c r="A207" s="2">
        <v>27</v>
      </c>
      <c r="B207" s="63"/>
      <c r="C207" s="56"/>
      <c r="D207" s="56"/>
      <c r="E207" s="56"/>
      <c r="F207" s="56"/>
      <c r="G207" s="56"/>
      <c r="H207" s="56"/>
      <c r="I207" s="117" t="str">
        <f ca="1">IF(AND(INDIRECT("H207")&gt;=INDIRECT("F207"),AA207=0,AB207=0,AC207=0,AF207=0),"Yes",IF(AND(INDIRECT("H207")&lt;INDIRECT("F207"),AA207=0,AB207=0,AC207=0,AF207=0),"No","N/A"))</f>
        <v>N/A</v>
      </c>
      <c r="J207" s="174" t="str">
        <f t="shared" ca="1" si="11"/>
        <v>No Error</v>
      </c>
      <c r="K207" s="174"/>
      <c r="L207" s="174"/>
      <c r="AA207" s="61">
        <f ca="1">COUNTBLANK(INDIRECT("C207"))</f>
        <v>1</v>
      </c>
      <c r="AB207" s="61">
        <f ca="1">COUNTBLANK(INDIRECT("D207"))</f>
        <v>1</v>
      </c>
      <c r="AC207" s="61">
        <f ca="1">COUNTBLANK(INDIRECT("e207"))</f>
        <v>1</v>
      </c>
      <c r="AD207" s="61">
        <f ca="1">COUNTBLANK(INDIRECT("f207"))</f>
        <v>1</v>
      </c>
      <c r="AE207" s="61">
        <f ca="1">COUNTBLANK(INDIRECT("g207"))</f>
        <v>1</v>
      </c>
      <c r="AF207" s="61">
        <f ca="1">COUNTBLANK(INDIRECT("h207"))</f>
        <v>1</v>
      </c>
      <c r="AG207" s="61">
        <f ca="1">COUNTBLANK(INDIRECT("b207"))</f>
        <v>1</v>
      </c>
    </row>
    <row r="208" spans="1:33" x14ac:dyDescent="0.25">
      <c r="A208" s="2">
        <v>28</v>
      </c>
      <c r="B208" s="63"/>
      <c r="C208" s="56"/>
      <c r="D208" s="56"/>
      <c r="E208" s="56"/>
      <c r="F208" s="56"/>
      <c r="G208" s="56"/>
      <c r="H208" s="56"/>
      <c r="I208" s="117" t="str">
        <f ca="1">IF(AND(INDIRECT("H208")&gt;=INDIRECT("F208"),AA208=0,AB208=0,AC208=0,AF208=0),"Yes",IF(AND(INDIRECT("H208")&lt;INDIRECT("F208"),AA208=0,AB208=0,AC208=0,AF208=0),"No","N/A"))</f>
        <v>N/A</v>
      </c>
      <c r="J208" s="174" t="str">
        <f t="shared" ca="1" si="11"/>
        <v>No Error</v>
      </c>
      <c r="K208" s="174"/>
      <c r="L208" s="174"/>
      <c r="AA208" s="61">
        <f ca="1">COUNTBLANK(INDIRECT("C208"))</f>
        <v>1</v>
      </c>
      <c r="AB208" s="61">
        <f ca="1">COUNTBLANK(INDIRECT("D208"))</f>
        <v>1</v>
      </c>
      <c r="AC208" s="61">
        <f ca="1">COUNTBLANK(INDIRECT("e208"))</f>
        <v>1</v>
      </c>
      <c r="AD208" s="61">
        <f ca="1">COUNTBLANK(INDIRECT("f208"))</f>
        <v>1</v>
      </c>
      <c r="AE208" s="61">
        <f ca="1">COUNTBLANK(INDIRECT("g208"))</f>
        <v>1</v>
      </c>
      <c r="AF208" s="61">
        <f ca="1">COUNTBLANK(INDIRECT("h208"))</f>
        <v>1</v>
      </c>
      <c r="AG208" s="61">
        <f ca="1">COUNTBLANK(INDIRECT("b208"))</f>
        <v>1</v>
      </c>
    </row>
    <row r="209" spans="1:33" x14ac:dyDescent="0.25">
      <c r="A209" s="2">
        <v>29</v>
      </c>
      <c r="B209" s="63"/>
      <c r="C209" s="56"/>
      <c r="D209" s="56"/>
      <c r="E209" s="56"/>
      <c r="F209" s="56"/>
      <c r="G209" s="56"/>
      <c r="H209" s="56"/>
      <c r="I209" s="117" t="str">
        <f ca="1">IF(AND(INDIRECT("H209")&gt;=INDIRECT("F209"),AA209=0,AB209=0,AC209=0,AF209=0),"Yes",IF(AND(INDIRECT("H209")&lt;INDIRECT("F209"),AA209=0,AB209=0,AC209=0,AF209=0),"No","N/A"))</f>
        <v>N/A</v>
      </c>
      <c r="J209" s="174" t="str">
        <f t="shared" ca="1" si="11"/>
        <v>No Error</v>
      </c>
      <c r="K209" s="174"/>
      <c r="L209" s="174"/>
      <c r="AA209" s="61">
        <f ca="1">COUNTBLANK(INDIRECT("C209"))</f>
        <v>1</v>
      </c>
      <c r="AB209" s="61">
        <f ca="1">COUNTBLANK(INDIRECT("D209"))</f>
        <v>1</v>
      </c>
      <c r="AC209" s="61">
        <f ca="1">COUNTBLANK(INDIRECT("e209"))</f>
        <v>1</v>
      </c>
      <c r="AD209" s="61">
        <f ca="1">COUNTBLANK(INDIRECT("f209"))</f>
        <v>1</v>
      </c>
      <c r="AE209" s="61">
        <f ca="1">COUNTBLANK(INDIRECT("g209"))</f>
        <v>1</v>
      </c>
      <c r="AF209" s="61">
        <f ca="1">COUNTBLANK(INDIRECT("h209"))</f>
        <v>1</v>
      </c>
      <c r="AG209" s="61">
        <f ca="1">COUNTBLANK(INDIRECT("b209"))</f>
        <v>1</v>
      </c>
    </row>
    <row r="210" spans="1:33" x14ac:dyDescent="0.25">
      <c r="A210" s="2">
        <v>30</v>
      </c>
      <c r="B210" s="63"/>
      <c r="C210" s="56"/>
      <c r="D210" s="56"/>
      <c r="E210" s="56"/>
      <c r="F210" s="56"/>
      <c r="G210" s="56"/>
      <c r="H210" s="56"/>
      <c r="I210" s="117" t="str">
        <f ca="1">IF(AND(INDIRECT("H210")&gt;=INDIRECT("F210"),AA210=0,AB210=0,AC210=0,AF210=0),"Yes",IF(AND(INDIRECT("H210")&lt;INDIRECT("F210"),AA210=0,AB210=0,AC210=0,AF210=0),"No","N/A"))</f>
        <v>N/A</v>
      </c>
      <c r="J210" s="174" t="str">
        <f t="shared" ca="1" si="11"/>
        <v>No Error</v>
      </c>
      <c r="K210" s="174"/>
      <c r="L210" s="174"/>
      <c r="AA210" s="61">
        <f ca="1">COUNTBLANK(INDIRECT("C210"))</f>
        <v>1</v>
      </c>
      <c r="AB210" s="61">
        <f ca="1">COUNTBLANK(INDIRECT("D210"))</f>
        <v>1</v>
      </c>
      <c r="AC210" s="61">
        <f ca="1">COUNTBLANK(INDIRECT("e210"))</f>
        <v>1</v>
      </c>
      <c r="AD210" s="61">
        <f ca="1">COUNTBLANK(INDIRECT("f210"))</f>
        <v>1</v>
      </c>
      <c r="AE210" s="61">
        <f ca="1">COUNTBLANK(INDIRECT("g210"))</f>
        <v>1</v>
      </c>
      <c r="AF210" s="61">
        <f ca="1">COUNTBLANK(INDIRECT("h210"))</f>
        <v>1</v>
      </c>
      <c r="AG210" s="61">
        <f ca="1">COUNTBLANK(INDIRECT("b210"))</f>
        <v>1</v>
      </c>
    </row>
    <row r="211" spans="1:33" x14ac:dyDescent="0.25">
      <c r="A211" s="2">
        <v>31</v>
      </c>
      <c r="B211" s="63"/>
      <c r="C211" s="56"/>
      <c r="D211" s="56"/>
      <c r="E211" s="56"/>
      <c r="F211" s="56"/>
      <c r="G211" s="56"/>
      <c r="H211" s="56"/>
      <c r="I211" s="117" t="str">
        <f ca="1">IF(AND(INDIRECT("H211")&gt;=INDIRECT("F211"),AA211=0,AB211=0,AC211=0,AF211=0),"Yes",IF(AND(INDIRECT("H211")&lt;INDIRECT("F211"),AA211=0,AB211=0,AC211=0,AF211=0),"No","N/A"))</f>
        <v>N/A</v>
      </c>
      <c r="J211" s="174" t="str">
        <f t="shared" ca="1" si="11"/>
        <v>No Error</v>
      </c>
      <c r="K211" s="174"/>
      <c r="L211" s="174"/>
      <c r="AA211" s="61">
        <f ca="1">COUNTBLANK(INDIRECT("C211"))</f>
        <v>1</v>
      </c>
      <c r="AB211" s="61">
        <f ca="1">COUNTBLANK(INDIRECT("D211"))</f>
        <v>1</v>
      </c>
      <c r="AC211" s="61">
        <f ca="1">COUNTBLANK(INDIRECT("e211"))</f>
        <v>1</v>
      </c>
      <c r="AD211" s="61">
        <f ca="1">COUNTBLANK(INDIRECT("f211"))</f>
        <v>1</v>
      </c>
      <c r="AE211" s="61">
        <f ca="1">COUNTBLANK(INDIRECT("g211"))</f>
        <v>1</v>
      </c>
      <c r="AF211" s="61">
        <f ca="1">COUNTBLANK(INDIRECT("h211"))</f>
        <v>1</v>
      </c>
      <c r="AG211" s="61">
        <f ca="1">COUNTBLANK(INDIRECT("b211"))</f>
        <v>1</v>
      </c>
    </row>
    <row r="212" spans="1:33" x14ac:dyDescent="0.25">
      <c r="A212" s="2">
        <v>32</v>
      </c>
      <c r="B212" s="63"/>
      <c r="C212" s="56"/>
      <c r="D212" s="56"/>
      <c r="E212" s="56"/>
      <c r="F212" s="56"/>
      <c r="G212" s="56"/>
      <c r="H212" s="56"/>
      <c r="I212" s="117" t="str">
        <f ca="1">IF(AND(INDIRECT("H212")&gt;=INDIRECT("F212"),AA212=0,AB212=0,AC212=0,AF212=0),"Yes",IF(AND(INDIRECT("H212")&lt;INDIRECT("F212"),AA212=0,AB212=0,AC212=0,AF212=0),"No","N/A"))</f>
        <v>N/A</v>
      </c>
      <c r="J212" s="174" t="str">
        <f t="shared" ca="1" si="11"/>
        <v>No Error</v>
      </c>
      <c r="K212" s="174"/>
      <c r="L212" s="174"/>
      <c r="AA212" s="61">
        <f ca="1">COUNTBLANK(INDIRECT("C212"))</f>
        <v>1</v>
      </c>
      <c r="AB212" s="61">
        <f ca="1">COUNTBLANK(INDIRECT("D212"))</f>
        <v>1</v>
      </c>
      <c r="AC212" s="61">
        <f ca="1">COUNTBLANK(INDIRECT("e212"))</f>
        <v>1</v>
      </c>
      <c r="AD212" s="61">
        <f ca="1">COUNTBLANK(INDIRECT("f212"))</f>
        <v>1</v>
      </c>
      <c r="AE212" s="61">
        <f ca="1">COUNTBLANK(INDIRECT("g212"))</f>
        <v>1</v>
      </c>
      <c r="AF212" s="61">
        <f ca="1">COUNTBLANK(INDIRECT("h212"))</f>
        <v>1</v>
      </c>
      <c r="AG212" s="61">
        <f ca="1">COUNTBLANK(INDIRECT("b212"))</f>
        <v>1</v>
      </c>
    </row>
    <row r="213" spans="1:33" x14ac:dyDescent="0.25">
      <c r="A213" s="2">
        <v>33</v>
      </c>
      <c r="B213" s="63"/>
      <c r="C213" s="56"/>
      <c r="D213" s="56"/>
      <c r="E213" s="56"/>
      <c r="F213" s="56"/>
      <c r="G213" s="56"/>
      <c r="H213" s="56"/>
      <c r="I213" s="117" t="str">
        <f ca="1">IF(AND(INDIRECT("H213")&gt;=INDIRECT("F213"),AA213=0,AB213=0,AC213=0,AF213=0),"Yes",IF(AND(INDIRECT("H213")&lt;INDIRECT("F213"),AA213=0,AB213=0,AC213=0,AF213=0),"No","N/A"))</f>
        <v>N/A</v>
      </c>
      <c r="J213" s="174" t="str">
        <f t="shared" ca="1" si="11"/>
        <v>No Error</v>
      </c>
      <c r="K213" s="174"/>
      <c r="L213" s="174"/>
      <c r="AA213" s="61">
        <f ca="1">COUNTBLANK(INDIRECT("C213"))</f>
        <v>1</v>
      </c>
      <c r="AB213" s="61">
        <f ca="1">COUNTBLANK(INDIRECT("D213"))</f>
        <v>1</v>
      </c>
      <c r="AC213" s="61">
        <f ca="1">COUNTBLANK(INDIRECT("e213"))</f>
        <v>1</v>
      </c>
      <c r="AD213" s="61">
        <f ca="1">COUNTBLANK(INDIRECT("f213"))</f>
        <v>1</v>
      </c>
      <c r="AE213" s="61">
        <f ca="1">COUNTBLANK(INDIRECT("g213"))</f>
        <v>1</v>
      </c>
      <c r="AF213" s="61">
        <f ca="1">COUNTBLANK(INDIRECT("h213"))</f>
        <v>1</v>
      </c>
      <c r="AG213" s="61">
        <f ca="1">COUNTBLANK(INDIRECT("b213"))</f>
        <v>1</v>
      </c>
    </row>
    <row r="214" spans="1:33" x14ac:dyDescent="0.25">
      <c r="A214" s="2">
        <v>34</v>
      </c>
      <c r="B214" s="63"/>
      <c r="C214" s="56"/>
      <c r="D214" s="56"/>
      <c r="E214" s="56"/>
      <c r="F214" s="56"/>
      <c r="G214" s="56"/>
      <c r="H214" s="56"/>
      <c r="I214" s="117" t="str">
        <f ca="1">IF(AND(INDIRECT("H214")&gt;=INDIRECT("F214"),AA214=0,AB214=0,AC214=0,AF214=0),"Yes",IF(AND(INDIRECT("H214")&lt;INDIRECT("F214"),AA214=0,AB214=0,AC214=0,AF214=0),"No","N/A"))</f>
        <v>N/A</v>
      </c>
      <c r="J214" s="174" t="str">
        <f t="shared" ca="1" si="11"/>
        <v>No Error</v>
      </c>
      <c r="K214" s="174"/>
      <c r="L214" s="174"/>
      <c r="AA214" s="61">
        <f ca="1">COUNTBLANK(INDIRECT("C214"))</f>
        <v>1</v>
      </c>
      <c r="AB214" s="61">
        <f ca="1">COUNTBLANK(INDIRECT("D214"))</f>
        <v>1</v>
      </c>
      <c r="AC214" s="61">
        <f ca="1">COUNTBLANK(INDIRECT("e214"))</f>
        <v>1</v>
      </c>
      <c r="AD214" s="61">
        <f ca="1">COUNTBLANK(INDIRECT("f214"))</f>
        <v>1</v>
      </c>
      <c r="AE214" s="61">
        <f ca="1">COUNTBLANK(INDIRECT("g214"))</f>
        <v>1</v>
      </c>
      <c r="AF214" s="61">
        <f ca="1">COUNTBLANK(INDIRECT("h214"))</f>
        <v>1</v>
      </c>
      <c r="AG214" s="61">
        <f ca="1">COUNTBLANK(INDIRECT("b214"))</f>
        <v>1</v>
      </c>
    </row>
    <row r="215" spans="1:33" x14ac:dyDescent="0.25">
      <c r="A215" s="2">
        <v>35</v>
      </c>
      <c r="B215" s="63"/>
      <c r="C215" s="56"/>
      <c r="D215" s="56"/>
      <c r="E215" s="56"/>
      <c r="F215" s="56"/>
      <c r="G215" s="56"/>
      <c r="H215" s="56"/>
      <c r="I215" s="117" t="str">
        <f ca="1">IF(AND(INDIRECT("H215")&gt;=INDIRECT("F215"),AA215=0,AB215=0,AC215=0,AF215=0),"Yes",IF(AND(INDIRECT("H215")&lt;INDIRECT("F215"),AA215=0,AB215=0,AC215=0,AF215=0),"No","N/A"))</f>
        <v>N/A</v>
      </c>
      <c r="J215" s="174" t="str">
        <f t="shared" ca="1" si="11"/>
        <v>No Error</v>
      </c>
      <c r="K215" s="174"/>
      <c r="L215" s="174"/>
      <c r="AA215" s="61">
        <f ca="1">COUNTBLANK(INDIRECT("C215"))</f>
        <v>1</v>
      </c>
      <c r="AB215" s="61">
        <f ca="1">COUNTBLANK(INDIRECT("D215"))</f>
        <v>1</v>
      </c>
      <c r="AC215" s="61">
        <f ca="1">COUNTBLANK(INDIRECT("e215"))</f>
        <v>1</v>
      </c>
      <c r="AD215" s="61">
        <f ca="1">COUNTBLANK(INDIRECT("f215"))</f>
        <v>1</v>
      </c>
      <c r="AE215" s="61">
        <f ca="1">COUNTBLANK(INDIRECT("g215"))</f>
        <v>1</v>
      </c>
      <c r="AF215" s="61">
        <f ca="1">COUNTBLANK(INDIRECT("h215"))</f>
        <v>1</v>
      </c>
      <c r="AG215" s="61">
        <f ca="1">COUNTBLANK(INDIRECT("b215"))</f>
        <v>1</v>
      </c>
    </row>
    <row r="216" spans="1:33" x14ac:dyDescent="0.25">
      <c r="A216" s="2">
        <v>36</v>
      </c>
      <c r="B216" s="63"/>
      <c r="C216" s="56"/>
      <c r="D216" s="56"/>
      <c r="E216" s="56"/>
      <c r="F216" s="56"/>
      <c r="G216" s="56"/>
      <c r="H216" s="56"/>
      <c r="I216" s="117" t="str">
        <f ca="1">IF(AND(INDIRECT("H216")&gt;=INDIRECT("F216"),AA216=0,AB216=0,AC216=0,AF216=0),"Yes",IF(AND(INDIRECT("H216")&lt;INDIRECT("F216"),AA216=0,AB216=0,AC216=0,AF216=0),"No","N/A"))</f>
        <v>N/A</v>
      </c>
      <c r="J216" s="174" t="str">
        <f t="shared" ca="1" si="11"/>
        <v>No Error</v>
      </c>
      <c r="K216" s="174"/>
      <c r="L216" s="174"/>
      <c r="AA216" s="61">
        <f ca="1">COUNTBLANK(INDIRECT("C216"))</f>
        <v>1</v>
      </c>
      <c r="AB216" s="61">
        <f ca="1">COUNTBLANK(INDIRECT("D216"))</f>
        <v>1</v>
      </c>
      <c r="AC216" s="61">
        <f ca="1">COUNTBLANK(INDIRECT("e216"))</f>
        <v>1</v>
      </c>
      <c r="AD216" s="61">
        <f ca="1">COUNTBLANK(INDIRECT("f216"))</f>
        <v>1</v>
      </c>
      <c r="AE216" s="61">
        <f ca="1">COUNTBLANK(INDIRECT("g216"))</f>
        <v>1</v>
      </c>
      <c r="AF216" s="61">
        <f ca="1">COUNTBLANK(INDIRECT("h216"))</f>
        <v>1</v>
      </c>
      <c r="AG216" s="61">
        <f ca="1">COUNTBLANK(INDIRECT("b216"))</f>
        <v>1</v>
      </c>
    </row>
    <row r="217" spans="1:33" x14ac:dyDescent="0.25">
      <c r="A217" s="2">
        <v>37</v>
      </c>
      <c r="B217" s="63"/>
      <c r="C217" s="56"/>
      <c r="D217" s="56"/>
      <c r="E217" s="56"/>
      <c r="F217" s="56"/>
      <c r="G217" s="56"/>
      <c r="H217" s="56"/>
      <c r="I217" s="117" t="str">
        <f ca="1">IF(AND(INDIRECT("H217")&gt;=INDIRECT("F217"),AA217=0,AB217=0,AC217=0,AF217=0),"Yes",IF(AND(INDIRECT("H217")&lt;INDIRECT("F217"),AA217=0,AB217=0,AC217=0,AF217=0),"No","N/A"))</f>
        <v>N/A</v>
      </c>
      <c r="J217" s="174" t="str">
        <f t="shared" ca="1" si="11"/>
        <v>No Error</v>
      </c>
      <c r="K217" s="174"/>
      <c r="L217" s="174"/>
      <c r="AA217" s="61">
        <f ca="1">COUNTBLANK(INDIRECT("C217"))</f>
        <v>1</v>
      </c>
      <c r="AB217" s="61">
        <f ca="1">COUNTBLANK(INDIRECT("D217"))</f>
        <v>1</v>
      </c>
      <c r="AC217" s="61">
        <f ca="1">COUNTBLANK(INDIRECT("e217"))</f>
        <v>1</v>
      </c>
      <c r="AD217" s="61">
        <f ca="1">COUNTBLANK(INDIRECT("f217"))</f>
        <v>1</v>
      </c>
      <c r="AE217" s="61">
        <f ca="1">COUNTBLANK(INDIRECT("g217"))</f>
        <v>1</v>
      </c>
      <c r="AF217" s="61">
        <f ca="1">COUNTBLANK(INDIRECT("h217"))</f>
        <v>1</v>
      </c>
      <c r="AG217" s="61">
        <f ca="1">COUNTBLANK(INDIRECT("b217"))</f>
        <v>1</v>
      </c>
    </row>
    <row r="218" spans="1:33" x14ac:dyDescent="0.25">
      <c r="A218" s="2">
        <v>38</v>
      </c>
      <c r="B218" s="63"/>
      <c r="C218" s="56"/>
      <c r="D218" s="56"/>
      <c r="E218" s="56"/>
      <c r="F218" s="56"/>
      <c r="G218" s="56"/>
      <c r="H218" s="56"/>
      <c r="I218" s="117" t="str">
        <f ca="1">IF(AND(INDIRECT("H218")&gt;=INDIRECT("F218"),AA218=0,AB218=0,AC218=0,AF218=0),"Yes",IF(AND(INDIRECT("H218")&lt;INDIRECT("F218"),AA218=0,AB218=0,AC218=0,AF218=0),"No","N/A"))</f>
        <v>N/A</v>
      </c>
      <c r="J218" s="174" t="str">
        <f t="shared" ca="1" si="11"/>
        <v>No Error</v>
      </c>
      <c r="K218" s="174"/>
      <c r="L218" s="174"/>
      <c r="AA218" s="61">
        <f ca="1">COUNTBLANK(INDIRECT("C218"))</f>
        <v>1</v>
      </c>
      <c r="AB218" s="61">
        <f ca="1">COUNTBLANK(INDIRECT("D218"))</f>
        <v>1</v>
      </c>
      <c r="AC218" s="61">
        <f ca="1">COUNTBLANK(INDIRECT("e218"))</f>
        <v>1</v>
      </c>
      <c r="AD218" s="61">
        <f ca="1">COUNTBLANK(INDIRECT("f218"))</f>
        <v>1</v>
      </c>
      <c r="AE218" s="61">
        <f ca="1">COUNTBLANK(INDIRECT("g218"))</f>
        <v>1</v>
      </c>
      <c r="AF218" s="61">
        <f ca="1">COUNTBLANK(INDIRECT("h218"))</f>
        <v>1</v>
      </c>
      <c r="AG218" s="61">
        <f ca="1">COUNTBLANK(INDIRECT("b218"))</f>
        <v>1</v>
      </c>
    </row>
    <row r="219" spans="1:33" x14ac:dyDescent="0.25">
      <c r="A219" s="2">
        <v>39</v>
      </c>
      <c r="B219" s="63"/>
      <c r="C219" s="56"/>
      <c r="D219" s="56"/>
      <c r="E219" s="56"/>
      <c r="F219" s="56"/>
      <c r="G219" s="56"/>
      <c r="H219" s="56"/>
      <c r="I219" s="117" t="str">
        <f ca="1">IF(AND(INDIRECT("H219")&gt;=INDIRECT("F219"),AA219=0,AB219=0,AC219=0,AF219=0),"Yes",IF(AND(INDIRECT("H219")&lt;INDIRECT("F219"),AA219=0,AB219=0,AC219=0,AF219=0),"No","N/A"))</f>
        <v>N/A</v>
      </c>
      <c r="J219" s="174" t="str">
        <f t="shared" ca="1" si="11"/>
        <v>No Error</v>
      </c>
      <c r="K219" s="174"/>
      <c r="L219" s="174"/>
      <c r="AA219" s="61">
        <f ca="1">COUNTBLANK(INDIRECT("C219"))</f>
        <v>1</v>
      </c>
      <c r="AB219" s="61">
        <f ca="1">COUNTBLANK(INDIRECT("D219"))</f>
        <v>1</v>
      </c>
      <c r="AC219" s="61">
        <f ca="1">COUNTBLANK(INDIRECT("e219"))</f>
        <v>1</v>
      </c>
      <c r="AD219" s="61">
        <f ca="1">COUNTBLANK(INDIRECT("f219"))</f>
        <v>1</v>
      </c>
      <c r="AE219" s="61">
        <f ca="1">COUNTBLANK(INDIRECT("g219"))</f>
        <v>1</v>
      </c>
      <c r="AF219" s="61">
        <f ca="1">COUNTBLANK(INDIRECT("h219"))</f>
        <v>1</v>
      </c>
      <c r="AG219" s="61">
        <f ca="1">COUNTBLANK(INDIRECT("b219"))</f>
        <v>1</v>
      </c>
    </row>
    <row r="220" spans="1:33" x14ac:dyDescent="0.25">
      <c r="A220" s="2">
        <v>40</v>
      </c>
      <c r="B220" s="63"/>
      <c r="C220" s="56"/>
      <c r="D220" s="56"/>
      <c r="E220" s="56"/>
      <c r="F220" s="56"/>
      <c r="G220" s="56"/>
      <c r="H220" s="56"/>
      <c r="I220" s="117" t="str">
        <f ca="1">IF(AND(INDIRECT("H220")&gt;=INDIRECT("F220"),AA220=0,AB220=0,AC220=0,AF220=0),"Yes",IF(AND(INDIRECT("H220")&lt;INDIRECT("F220"),AA220=0,AB220=0,AC220=0,AF220=0),"No","N/A"))</f>
        <v>N/A</v>
      </c>
      <c r="J220" s="174" t="str">
        <f t="shared" ca="1" si="11"/>
        <v>No Error</v>
      </c>
      <c r="K220" s="174"/>
      <c r="L220" s="174"/>
      <c r="AA220" s="61">
        <f ca="1">COUNTBLANK(INDIRECT("C220"))</f>
        <v>1</v>
      </c>
      <c r="AB220" s="61">
        <f ca="1">COUNTBLANK(INDIRECT("D220"))</f>
        <v>1</v>
      </c>
      <c r="AC220" s="61">
        <f ca="1">COUNTBLANK(INDIRECT("e220"))</f>
        <v>1</v>
      </c>
      <c r="AD220" s="61">
        <f ca="1">COUNTBLANK(INDIRECT("f220"))</f>
        <v>1</v>
      </c>
      <c r="AE220" s="61">
        <f ca="1">COUNTBLANK(INDIRECT("g220"))</f>
        <v>1</v>
      </c>
      <c r="AF220" s="61">
        <f ca="1">COUNTBLANK(INDIRECT("h220"))</f>
        <v>1</v>
      </c>
      <c r="AG220" s="61">
        <f ca="1">COUNTBLANK(INDIRECT("b220"))</f>
        <v>1</v>
      </c>
    </row>
    <row r="221" spans="1:33" x14ac:dyDescent="0.25">
      <c r="A221" s="2">
        <v>41</v>
      </c>
      <c r="B221" s="63"/>
      <c r="C221" s="56"/>
      <c r="D221" s="56"/>
      <c r="E221" s="56"/>
      <c r="F221" s="56"/>
      <c r="G221" s="56"/>
      <c r="H221" s="56"/>
      <c r="I221" s="117" t="str">
        <f ca="1">IF(AND(INDIRECT("H221")&gt;=INDIRECT("F221"),AA221=0,AB221=0,AC221=0,AF221=0),"Yes",IF(AND(INDIRECT("H221")&lt;INDIRECT("F221"),AA221=0,AB221=0,AC221=0,AF221=0),"No","N/A"))</f>
        <v>N/A</v>
      </c>
      <c r="J221" s="174" t="str">
        <f t="shared" ca="1" si="11"/>
        <v>No Error</v>
      </c>
      <c r="K221" s="174"/>
      <c r="L221" s="174"/>
      <c r="AA221" s="61">
        <f ca="1">COUNTBLANK(INDIRECT("C221"))</f>
        <v>1</v>
      </c>
      <c r="AB221" s="61">
        <f ca="1">COUNTBLANK(INDIRECT("D221"))</f>
        <v>1</v>
      </c>
      <c r="AC221" s="61">
        <f ca="1">COUNTBLANK(INDIRECT("e221"))</f>
        <v>1</v>
      </c>
      <c r="AD221" s="61">
        <f ca="1">COUNTBLANK(INDIRECT("f221"))</f>
        <v>1</v>
      </c>
      <c r="AE221" s="61">
        <f ca="1">COUNTBLANK(INDIRECT("g221"))</f>
        <v>1</v>
      </c>
      <c r="AF221" s="61">
        <f ca="1">COUNTBLANK(INDIRECT("h221"))</f>
        <v>1</v>
      </c>
      <c r="AG221" s="61">
        <f ca="1">COUNTBLANK(INDIRECT("b221"))</f>
        <v>1</v>
      </c>
    </row>
    <row r="222" spans="1:33" x14ac:dyDescent="0.25">
      <c r="A222" s="2">
        <v>42</v>
      </c>
      <c r="B222" s="63"/>
      <c r="C222" s="56"/>
      <c r="D222" s="56"/>
      <c r="E222" s="56"/>
      <c r="F222" s="56"/>
      <c r="G222" s="56"/>
      <c r="H222" s="56"/>
      <c r="I222" s="117" t="str">
        <f ca="1">IF(AND(INDIRECT("H222")&gt;=INDIRECT("F222"),AA222=0,AB222=0,AC222=0,AF222=0),"Yes",IF(AND(INDIRECT("H222")&lt;INDIRECT("F222"),AA222=0,AB222=0,AC222=0,AF222=0),"No","N/A"))</f>
        <v>N/A</v>
      </c>
      <c r="J222" s="174" t="str">
        <f t="shared" ca="1" si="11"/>
        <v>No Error</v>
      </c>
      <c r="K222" s="174"/>
      <c r="L222" s="174"/>
      <c r="AA222" s="61">
        <f ca="1">COUNTBLANK(INDIRECT("C222"))</f>
        <v>1</v>
      </c>
      <c r="AB222" s="61">
        <f ca="1">COUNTBLANK(INDIRECT("D222"))</f>
        <v>1</v>
      </c>
      <c r="AC222" s="61">
        <f ca="1">COUNTBLANK(INDIRECT("e222"))</f>
        <v>1</v>
      </c>
      <c r="AD222" s="61">
        <f ca="1">COUNTBLANK(INDIRECT("f222"))</f>
        <v>1</v>
      </c>
      <c r="AE222" s="61">
        <f ca="1">COUNTBLANK(INDIRECT("g222"))</f>
        <v>1</v>
      </c>
      <c r="AF222" s="61">
        <f ca="1">COUNTBLANK(INDIRECT("h222"))</f>
        <v>1</v>
      </c>
      <c r="AG222" s="61">
        <f ca="1">COUNTBLANK(INDIRECT("b222"))</f>
        <v>1</v>
      </c>
    </row>
    <row r="223" spans="1:33" x14ac:dyDescent="0.25">
      <c r="A223" s="2">
        <v>43</v>
      </c>
      <c r="B223" s="63"/>
      <c r="C223" s="56"/>
      <c r="D223" s="56"/>
      <c r="E223" s="56"/>
      <c r="F223" s="56"/>
      <c r="G223" s="56"/>
      <c r="H223" s="56"/>
      <c r="I223" s="117" t="str">
        <f ca="1">IF(AND(INDIRECT("H223")&gt;=INDIRECT("F223"),AA223=0,AB223=0,AC223=0,AF223=0),"Yes",IF(AND(INDIRECT("H223")&lt;INDIRECT("F223"),AA223=0,AB223=0,AC223=0,AF223=0),"No","N/A"))</f>
        <v>N/A</v>
      </c>
      <c r="J223" s="174" t="str">
        <f t="shared" ca="1" si="11"/>
        <v>No Error</v>
      </c>
      <c r="K223" s="174"/>
      <c r="L223" s="174"/>
      <c r="AA223" s="61">
        <f ca="1">COUNTBLANK(INDIRECT("C223"))</f>
        <v>1</v>
      </c>
      <c r="AB223" s="61">
        <f ca="1">COUNTBLANK(INDIRECT("D223"))</f>
        <v>1</v>
      </c>
      <c r="AC223" s="61">
        <f ca="1">COUNTBLANK(INDIRECT("e223"))</f>
        <v>1</v>
      </c>
      <c r="AD223" s="61">
        <f ca="1">COUNTBLANK(INDIRECT("f223"))</f>
        <v>1</v>
      </c>
      <c r="AE223" s="61">
        <f ca="1">COUNTBLANK(INDIRECT("g223"))</f>
        <v>1</v>
      </c>
      <c r="AF223" s="61">
        <f ca="1">COUNTBLANK(INDIRECT("h223"))</f>
        <v>1</v>
      </c>
      <c r="AG223" s="61">
        <f ca="1">COUNTBLANK(INDIRECT("b223"))</f>
        <v>1</v>
      </c>
    </row>
    <row r="224" spans="1:33" x14ac:dyDescent="0.25">
      <c r="A224" s="2">
        <v>44</v>
      </c>
      <c r="B224" s="63"/>
      <c r="C224" s="56"/>
      <c r="D224" s="56"/>
      <c r="E224" s="56"/>
      <c r="F224" s="56"/>
      <c r="G224" s="56"/>
      <c r="H224" s="56"/>
      <c r="I224" s="117" t="str">
        <f ca="1">IF(AND(INDIRECT("H224")&gt;=INDIRECT("F224"),AA224=0,AB224=0,AC224=0,AF224=0),"Yes",IF(AND(INDIRECT("H224")&lt;INDIRECT("F224"),AA224=0,AB224=0,AC224=0,AF224=0),"No","N/A"))</f>
        <v>N/A</v>
      </c>
      <c r="J224" s="174" t="str">
        <f t="shared" ca="1" si="11"/>
        <v>No Error</v>
      </c>
      <c r="K224" s="174"/>
      <c r="L224" s="174"/>
      <c r="AA224" s="61">
        <f ca="1">COUNTBLANK(INDIRECT("C224"))</f>
        <v>1</v>
      </c>
      <c r="AB224" s="61">
        <f ca="1">COUNTBLANK(INDIRECT("D224"))</f>
        <v>1</v>
      </c>
      <c r="AC224" s="61">
        <f ca="1">COUNTBLANK(INDIRECT("e224"))</f>
        <v>1</v>
      </c>
      <c r="AD224" s="61">
        <f ca="1">COUNTBLANK(INDIRECT("f224"))</f>
        <v>1</v>
      </c>
      <c r="AE224" s="61">
        <f ca="1">COUNTBLANK(INDIRECT("g224"))</f>
        <v>1</v>
      </c>
      <c r="AF224" s="61">
        <f ca="1">COUNTBLANK(INDIRECT("h224"))</f>
        <v>1</v>
      </c>
      <c r="AG224" s="61">
        <f ca="1">COUNTBLANK(INDIRECT("b224"))</f>
        <v>1</v>
      </c>
    </row>
    <row r="225" spans="1:33" x14ac:dyDescent="0.25">
      <c r="A225" s="2">
        <v>45</v>
      </c>
      <c r="B225" s="63"/>
      <c r="C225" s="56"/>
      <c r="D225" s="56"/>
      <c r="E225" s="56"/>
      <c r="F225" s="56"/>
      <c r="G225" s="56"/>
      <c r="H225" s="56"/>
      <c r="I225" s="117" t="str">
        <f ca="1">IF(AND(INDIRECT("H225")&gt;=INDIRECT("F225"),AA225=0,AB225=0,AC225=0,AF225=0),"Yes",IF(AND(INDIRECT("H225")&lt;INDIRECT("F225"),AA225=0,AB225=0,AC225=0,AF225=0),"No","N/A"))</f>
        <v>N/A</v>
      </c>
      <c r="J225" s="174" t="str">
        <f t="shared" ca="1" si="11"/>
        <v>No Error</v>
      </c>
      <c r="K225" s="174"/>
      <c r="L225" s="174"/>
      <c r="AA225" s="61">
        <f ca="1">COUNTBLANK(INDIRECT("C225"))</f>
        <v>1</v>
      </c>
      <c r="AB225" s="61">
        <f ca="1">COUNTBLANK(INDIRECT("D225"))</f>
        <v>1</v>
      </c>
      <c r="AC225" s="61">
        <f ca="1">COUNTBLANK(INDIRECT("e225"))</f>
        <v>1</v>
      </c>
      <c r="AD225" s="61">
        <f ca="1">COUNTBLANK(INDIRECT("f225"))</f>
        <v>1</v>
      </c>
      <c r="AE225" s="61">
        <f ca="1">COUNTBLANK(INDIRECT("g225"))</f>
        <v>1</v>
      </c>
      <c r="AF225" s="61">
        <f ca="1">COUNTBLANK(INDIRECT("h225"))</f>
        <v>1</v>
      </c>
      <c r="AG225" s="61">
        <f ca="1">COUNTBLANK(INDIRECT("b225"))</f>
        <v>1</v>
      </c>
    </row>
    <row r="226" spans="1:33" x14ac:dyDescent="0.25">
      <c r="A226" s="2">
        <v>46</v>
      </c>
      <c r="B226" s="63"/>
      <c r="C226" s="56"/>
      <c r="D226" s="56"/>
      <c r="E226" s="56"/>
      <c r="F226" s="56"/>
      <c r="G226" s="56"/>
      <c r="H226" s="56"/>
      <c r="I226" s="117" t="str">
        <f ca="1">IF(AND(INDIRECT("H226")&gt;=INDIRECT("F226"),AA226=0,AB226=0,AC226=0,AF226=0),"Yes",IF(AND(INDIRECT("H226")&lt;INDIRECT("F226"),AA226=0,AB226=0,AC226=0,AF226=0),"No","N/A"))</f>
        <v>N/A</v>
      </c>
      <c r="J226" s="174" t="str">
        <f t="shared" ca="1" si="11"/>
        <v>No Error</v>
      </c>
      <c r="K226" s="174"/>
      <c r="L226" s="174"/>
      <c r="AA226" s="61">
        <f ca="1">COUNTBLANK(INDIRECT("C226"))</f>
        <v>1</v>
      </c>
      <c r="AB226" s="61">
        <f ca="1">COUNTBLANK(INDIRECT("D226"))</f>
        <v>1</v>
      </c>
      <c r="AC226" s="61">
        <f ca="1">COUNTBLANK(INDIRECT("e226"))</f>
        <v>1</v>
      </c>
      <c r="AD226" s="61">
        <f ca="1">COUNTBLANK(INDIRECT("f226"))</f>
        <v>1</v>
      </c>
      <c r="AE226" s="61">
        <f ca="1">COUNTBLANK(INDIRECT("g226"))</f>
        <v>1</v>
      </c>
      <c r="AF226" s="61">
        <f ca="1">COUNTBLANK(INDIRECT("h226"))</f>
        <v>1</v>
      </c>
      <c r="AG226" s="61">
        <f ca="1">COUNTBLANK(INDIRECT("b226"))</f>
        <v>1</v>
      </c>
    </row>
    <row r="227" spans="1:33" x14ac:dyDescent="0.25">
      <c r="A227" s="2">
        <v>47</v>
      </c>
      <c r="B227" s="63"/>
      <c r="C227" s="56"/>
      <c r="D227" s="56"/>
      <c r="E227" s="56"/>
      <c r="F227" s="56"/>
      <c r="G227" s="56"/>
      <c r="H227" s="56"/>
      <c r="I227" s="117" t="str">
        <f ca="1">IF(AND(INDIRECT("H227")&gt;=INDIRECT("F227"),AA227=0,AB227=0,AC227=0,AF227=0),"Yes",IF(AND(INDIRECT("H227")&lt;INDIRECT("F227"),AA227=0,AB227=0,AC227=0,AF227=0),"No","N/A"))</f>
        <v>N/A</v>
      </c>
      <c r="J227" s="174" t="str">
        <f t="shared" ca="1" si="11"/>
        <v>No Error</v>
      </c>
      <c r="K227" s="174"/>
      <c r="L227" s="174"/>
      <c r="AA227" s="61">
        <f ca="1">COUNTBLANK(INDIRECT("C227"))</f>
        <v>1</v>
      </c>
      <c r="AB227" s="61">
        <f ca="1">COUNTBLANK(INDIRECT("D227"))</f>
        <v>1</v>
      </c>
      <c r="AC227" s="61">
        <f ca="1">COUNTBLANK(INDIRECT("e227"))</f>
        <v>1</v>
      </c>
      <c r="AD227" s="61">
        <f ca="1">COUNTBLANK(INDIRECT("f227"))</f>
        <v>1</v>
      </c>
      <c r="AE227" s="61">
        <f ca="1">COUNTBLANK(INDIRECT("g227"))</f>
        <v>1</v>
      </c>
      <c r="AF227" s="61">
        <f ca="1">COUNTBLANK(INDIRECT("h227"))</f>
        <v>1</v>
      </c>
      <c r="AG227" s="61">
        <f ca="1">COUNTBLANK(INDIRECT("b227"))</f>
        <v>1</v>
      </c>
    </row>
    <row r="228" spans="1:33" x14ac:dyDescent="0.25">
      <c r="A228" s="2">
        <v>48</v>
      </c>
      <c r="B228" s="63"/>
      <c r="C228" s="56"/>
      <c r="D228" s="56"/>
      <c r="E228" s="56"/>
      <c r="F228" s="56"/>
      <c r="G228" s="56"/>
      <c r="H228" s="56"/>
      <c r="I228" s="117" t="str">
        <f ca="1">IF(AND(INDIRECT("H228")&gt;=INDIRECT("F228"),AA228=0,AB228=0,AC228=0,AF228=0),"Yes",IF(AND(INDIRECT("H228")&lt;INDIRECT("F228"),AA228=0,AB228=0,AC228=0,AF228=0),"No","N/A"))</f>
        <v>N/A</v>
      </c>
      <c r="J228" s="174" t="str">
        <f t="shared" ca="1" si="11"/>
        <v>No Error</v>
      </c>
      <c r="K228" s="174"/>
      <c r="L228" s="174"/>
      <c r="AA228" s="61">
        <f ca="1">COUNTBLANK(INDIRECT("C228"))</f>
        <v>1</v>
      </c>
      <c r="AB228" s="61">
        <f ca="1">COUNTBLANK(INDIRECT("D228"))</f>
        <v>1</v>
      </c>
      <c r="AC228" s="61">
        <f ca="1">COUNTBLANK(INDIRECT("e228"))</f>
        <v>1</v>
      </c>
      <c r="AD228" s="61">
        <f ca="1">COUNTBLANK(INDIRECT("f228"))</f>
        <v>1</v>
      </c>
      <c r="AE228" s="61">
        <f ca="1">COUNTBLANK(INDIRECT("g228"))</f>
        <v>1</v>
      </c>
      <c r="AF228" s="61">
        <f ca="1">COUNTBLANK(INDIRECT("h228"))</f>
        <v>1</v>
      </c>
      <c r="AG228" s="61">
        <f ca="1">COUNTBLANK(INDIRECT("b228"))</f>
        <v>1</v>
      </c>
    </row>
    <row r="229" spans="1:33" x14ac:dyDescent="0.25">
      <c r="A229" s="2">
        <v>49</v>
      </c>
      <c r="B229" s="63"/>
      <c r="C229" s="56"/>
      <c r="D229" s="56"/>
      <c r="E229" s="56"/>
      <c r="F229" s="56"/>
      <c r="G229" s="56"/>
      <c r="H229" s="56"/>
      <c r="I229" s="117" t="str">
        <f ca="1">IF(AND(INDIRECT("H229")&gt;=INDIRECT("F229"),AA229=0,AB229=0,AC229=0,AF229=0),"Yes",IF(AND(INDIRECT("H229")&lt;INDIRECT("F229"),AA229=0,AB229=0,AC229=0,AF229=0),"No","N/A"))</f>
        <v>N/A</v>
      </c>
      <c r="J229" s="174" t="str">
        <f t="shared" ca="1" si="11"/>
        <v>No Error</v>
      </c>
      <c r="K229" s="174"/>
      <c r="L229" s="174"/>
      <c r="AA229" s="61">
        <f ca="1">COUNTBLANK(INDIRECT("C229"))</f>
        <v>1</v>
      </c>
      <c r="AB229" s="61">
        <f ca="1">COUNTBLANK(INDIRECT("D229"))</f>
        <v>1</v>
      </c>
      <c r="AC229" s="61">
        <f ca="1">COUNTBLANK(INDIRECT("e229"))</f>
        <v>1</v>
      </c>
      <c r="AD229" s="61">
        <f ca="1">COUNTBLANK(INDIRECT("f229"))</f>
        <v>1</v>
      </c>
      <c r="AE229" s="61">
        <f ca="1">COUNTBLANK(INDIRECT("g229"))</f>
        <v>1</v>
      </c>
      <c r="AF229" s="61">
        <f ca="1">COUNTBLANK(INDIRECT("h229"))</f>
        <v>1</v>
      </c>
      <c r="AG229" s="61">
        <f ca="1">COUNTBLANK(INDIRECT("b229"))</f>
        <v>1</v>
      </c>
    </row>
    <row r="230" spans="1:33" x14ac:dyDescent="0.25">
      <c r="A230" s="2">
        <v>50</v>
      </c>
      <c r="B230" s="63"/>
      <c r="C230" s="56"/>
      <c r="D230" s="56"/>
      <c r="E230" s="56"/>
      <c r="F230" s="56"/>
      <c r="G230" s="56"/>
      <c r="H230" s="56"/>
      <c r="I230" s="117" t="str">
        <f ca="1">IF(AND(INDIRECT("H230")&gt;=INDIRECT("F230"),AA230=0,AB230=0,AC230=0,AF230=0),"Yes",IF(AND(INDIRECT("H230")&lt;INDIRECT("F230"),AA230=0,AB230=0,AC230=0,AF230=0),"No","N/A"))</f>
        <v>N/A</v>
      </c>
      <c r="J230" s="174" t="str">
        <f t="shared" ca="1" si="11"/>
        <v>No Error</v>
      </c>
      <c r="K230" s="174"/>
      <c r="L230" s="174"/>
      <c r="AA230" s="61">
        <f ca="1">COUNTBLANK(INDIRECT("C230"))</f>
        <v>1</v>
      </c>
      <c r="AB230" s="61">
        <f ca="1">COUNTBLANK(INDIRECT("D230"))</f>
        <v>1</v>
      </c>
      <c r="AC230" s="61">
        <f ca="1">COUNTBLANK(INDIRECT("e230"))</f>
        <v>1</v>
      </c>
      <c r="AD230" s="61">
        <f ca="1">COUNTBLANK(INDIRECT("f230"))</f>
        <v>1</v>
      </c>
      <c r="AE230" s="61">
        <f ca="1">COUNTBLANK(INDIRECT("g230"))</f>
        <v>1</v>
      </c>
      <c r="AF230" s="61">
        <f ca="1">COUNTBLANK(INDIRECT("h230"))</f>
        <v>1</v>
      </c>
      <c r="AG230" s="61">
        <f ca="1">COUNTBLANK(INDIRECT("b230"))</f>
        <v>1</v>
      </c>
    </row>
    <row r="231" spans="1:33" x14ac:dyDescent="0.25">
      <c r="A231" s="2">
        <v>51</v>
      </c>
      <c r="B231" s="63"/>
      <c r="C231" s="56"/>
      <c r="D231" s="56"/>
      <c r="E231" s="56"/>
      <c r="F231" s="56"/>
      <c r="G231" s="56"/>
      <c r="H231" s="56"/>
      <c r="I231" s="117" t="str">
        <f ca="1">IF(AND(INDIRECT("H231")&gt;=INDIRECT("F231"),AA231=0,AB231=0,AC231=0,AF231=0),"Yes",IF(AND(INDIRECT("H231")&lt;INDIRECT("F231"),AA231=0,AB231=0,AC231=0,AF231=0),"No","N/A"))</f>
        <v>N/A</v>
      </c>
      <c r="J231" s="174" t="str">
        <f t="shared" ca="1" si="11"/>
        <v>No Error</v>
      </c>
      <c r="K231" s="174"/>
      <c r="L231" s="174"/>
      <c r="AA231" s="61">
        <f ca="1">COUNTBLANK(INDIRECT("C231"))</f>
        <v>1</v>
      </c>
      <c r="AB231" s="61">
        <f ca="1">COUNTBLANK(INDIRECT("D231"))</f>
        <v>1</v>
      </c>
      <c r="AC231" s="61">
        <f ca="1">COUNTBLANK(INDIRECT("e231"))</f>
        <v>1</v>
      </c>
      <c r="AD231" s="61">
        <f ca="1">COUNTBLANK(INDIRECT("f231"))</f>
        <v>1</v>
      </c>
      <c r="AE231" s="61">
        <f ca="1">COUNTBLANK(INDIRECT("g231"))</f>
        <v>1</v>
      </c>
      <c r="AF231" s="61">
        <f ca="1">COUNTBLANK(INDIRECT("h231"))</f>
        <v>1</v>
      </c>
      <c r="AG231" s="61">
        <f ca="1">COUNTBLANK(INDIRECT("b231"))</f>
        <v>1</v>
      </c>
    </row>
    <row r="232" spans="1:33" x14ac:dyDescent="0.25">
      <c r="A232" s="2">
        <v>52</v>
      </c>
      <c r="B232" s="63"/>
      <c r="C232" s="56"/>
      <c r="D232" s="56"/>
      <c r="E232" s="56"/>
      <c r="F232" s="56"/>
      <c r="G232" s="56"/>
      <c r="H232" s="56"/>
      <c r="I232" s="117" t="str">
        <f ca="1">IF(AND(INDIRECT("H232")&gt;=INDIRECT("F232"),AA232=0,AB232=0,AC232=0,AF232=0),"Yes",IF(AND(INDIRECT("H232")&lt;INDIRECT("F232"),AA232=0,AB232=0,AC232=0,AF232=0),"No","N/A"))</f>
        <v>N/A</v>
      </c>
      <c r="J232" s="174" t="str">
        <f t="shared" ca="1" si="11"/>
        <v>No Error</v>
      </c>
      <c r="K232" s="174"/>
      <c r="L232" s="174"/>
      <c r="AA232" s="61">
        <f ca="1">COUNTBLANK(INDIRECT("C232"))</f>
        <v>1</v>
      </c>
      <c r="AB232" s="61">
        <f ca="1">COUNTBLANK(INDIRECT("D232"))</f>
        <v>1</v>
      </c>
      <c r="AC232" s="61">
        <f ca="1">COUNTBLANK(INDIRECT("e232"))</f>
        <v>1</v>
      </c>
      <c r="AD232" s="61">
        <f ca="1">COUNTBLANK(INDIRECT("f232"))</f>
        <v>1</v>
      </c>
      <c r="AE232" s="61">
        <f ca="1">COUNTBLANK(INDIRECT("g232"))</f>
        <v>1</v>
      </c>
      <c r="AF232" s="61">
        <f ca="1">COUNTBLANK(INDIRECT("h232"))</f>
        <v>1</v>
      </c>
      <c r="AG232" s="61">
        <f ca="1">COUNTBLANK(INDIRECT("b232"))</f>
        <v>1</v>
      </c>
    </row>
    <row r="233" spans="1:33" x14ac:dyDescent="0.25">
      <c r="A233" s="2">
        <v>53</v>
      </c>
      <c r="B233" s="63"/>
      <c r="C233" s="56"/>
      <c r="D233" s="56"/>
      <c r="E233" s="56"/>
      <c r="F233" s="56"/>
      <c r="G233" s="56"/>
      <c r="H233" s="56"/>
      <c r="I233" s="117" t="str">
        <f ca="1">IF(AND(INDIRECT("H233")&gt;=INDIRECT("F233"),AA233=0,AB233=0,AC233=0,AF233=0),"Yes",IF(AND(INDIRECT("H233")&lt;INDIRECT("F233"),AA233=0,AB233=0,AC233=0,AF233=0),"No","N/A"))</f>
        <v>N/A</v>
      </c>
      <c r="J233" s="174" t="str">
        <f t="shared" ca="1" si="11"/>
        <v>No Error</v>
      </c>
      <c r="K233" s="174"/>
      <c r="L233" s="174"/>
      <c r="AA233" s="61">
        <f ca="1">COUNTBLANK(INDIRECT("C233"))</f>
        <v>1</v>
      </c>
      <c r="AB233" s="61">
        <f ca="1">COUNTBLANK(INDIRECT("D233"))</f>
        <v>1</v>
      </c>
      <c r="AC233" s="61">
        <f ca="1">COUNTBLANK(INDIRECT("e233"))</f>
        <v>1</v>
      </c>
      <c r="AD233" s="61">
        <f ca="1">COUNTBLANK(INDIRECT("f233"))</f>
        <v>1</v>
      </c>
      <c r="AE233" s="61">
        <f ca="1">COUNTBLANK(INDIRECT("g233"))</f>
        <v>1</v>
      </c>
      <c r="AF233" s="61">
        <f ca="1">COUNTBLANK(INDIRECT("h233"))</f>
        <v>1</v>
      </c>
      <c r="AG233" s="61">
        <f ca="1">COUNTBLANK(INDIRECT("b233"))</f>
        <v>1</v>
      </c>
    </row>
    <row r="234" spans="1:33" x14ac:dyDescent="0.25">
      <c r="A234" s="2">
        <v>54</v>
      </c>
      <c r="B234" s="63"/>
      <c r="C234" s="56"/>
      <c r="D234" s="56"/>
      <c r="E234" s="56"/>
      <c r="F234" s="56"/>
      <c r="G234" s="56"/>
      <c r="H234" s="56"/>
      <c r="I234" s="117" t="str">
        <f ca="1">IF(AND(INDIRECT("H234")&gt;=INDIRECT("F234"),AA234=0,AB234=0,AC234=0,AF234=0),"Yes",IF(AND(INDIRECT("H234")&lt;INDIRECT("F234"),AA234=0,AB234=0,AC234=0,AF234=0),"No","N/A"))</f>
        <v>N/A</v>
      </c>
      <c r="J234" s="174" t="str">
        <f t="shared" ca="1" si="11"/>
        <v>No Error</v>
      </c>
      <c r="K234" s="174"/>
      <c r="L234" s="174"/>
      <c r="AA234" s="61">
        <f ca="1">COUNTBLANK(INDIRECT("C234"))</f>
        <v>1</v>
      </c>
      <c r="AB234" s="61">
        <f ca="1">COUNTBLANK(INDIRECT("D234"))</f>
        <v>1</v>
      </c>
      <c r="AC234" s="61">
        <f ca="1">COUNTBLANK(INDIRECT("e234"))</f>
        <v>1</v>
      </c>
      <c r="AD234" s="61">
        <f ca="1">COUNTBLANK(INDIRECT("f234"))</f>
        <v>1</v>
      </c>
      <c r="AE234" s="61">
        <f ca="1">COUNTBLANK(INDIRECT("g234"))</f>
        <v>1</v>
      </c>
      <c r="AF234" s="61">
        <f ca="1">COUNTBLANK(INDIRECT("h234"))</f>
        <v>1</v>
      </c>
      <c r="AG234" s="61">
        <f ca="1">COUNTBLANK(INDIRECT("b234"))</f>
        <v>1</v>
      </c>
    </row>
    <row r="235" spans="1:33" x14ac:dyDescent="0.25">
      <c r="A235" s="2">
        <v>55</v>
      </c>
      <c r="B235" s="63"/>
      <c r="C235" s="56"/>
      <c r="D235" s="56"/>
      <c r="E235" s="56"/>
      <c r="F235" s="56"/>
      <c r="G235" s="56"/>
      <c r="H235" s="56"/>
      <c r="I235" s="117" t="str">
        <f ca="1">IF(AND(INDIRECT("H235")&gt;=INDIRECT("F235"),AA235=0,AB235=0,AC235=0,AF235=0),"Yes",IF(AND(INDIRECT("H235")&lt;INDIRECT("F235"),AA235=0,AB235=0,AC235=0,AF235=0),"No","N/A"))</f>
        <v>N/A</v>
      </c>
      <c r="J235" s="174" t="str">
        <f t="shared" ca="1" si="11"/>
        <v>No Error</v>
      </c>
      <c r="K235" s="174"/>
      <c r="L235" s="174"/>
      <c r="AA235" s="61">
        <f ca="1">COUNTBLANK(INDIRECT("C235"))</f>
        <v>1</v>
      </c>
      <c r="AB235" s="61">
        <f ca="1">COUNTBLANK(INDIRECT("D235"))</f>
        <v>1</v>
      </c>
      <c r="AC235" s="61">
        <f ca="1">COUNTBLANK(INDIRECT("e235"))</f>
        <v>1</v>
      </c>
      <c r="AD235" s="61">
        <f ca="1">COUNTBLANK(INDIRECT("f235"))</f>
        <v>1</v>
      </c>
      <c r="AE235" s="61">
        <f ca="1">COUNTBLANK(INDIRECT("g235"))</f>
        <v>1</v>
      </c>
      <c r="AF235" s="61">
        <f ca="1">COUNTBLANK(INDIRECT("h235"))</f>
        <v>1</v>
      </c>
      <c r="AG235" s="61">
        <f ca="1">COUNTBLANK(INDIRECT("b235"))</f>
        <v>1</v>
      </c>
    </row>
    <row r="236" spans="1:33" x14ac:dyDescent="0.25">
      <c r="A236" s="2">
        <v>56</v>
      </c>
      <c r="B236" s="63"/>
      <c r="C236" s="56"/>
      <c r="D236" s="56"/>
      <c r="E236" s="56"/>
      <c r="F236" s="56"/>
      <c r="G236" s="56"/>
      <c r="H236" s="56"/>
      <c r="I236" s="117" t="str">
        <f ca="1">IF(AND(INDIRECT("H236")&gt;=INDIRECT("F236"),AA236=0,AB236=0,AC236=0,AF236=0),"Yes",IF(AND(INDIRECT("H236")&lt;INDIRECT("F236"),AA236=0,AB236=0,AC236=0,AF236=0),"No","N/A"))</f>
        <v>N/A</v>
      </c>
      <c r="J236" s="174" t="str">
        <f t="shared" ca="1" si="11"/>
        <v>No Error</v>
      </c>
      <c r="K236" s="174"/>
      <c r="L236" s="174"/>
      <c r="AA236" s="61">
        <f ca="1">COUNTBLANK(INDIRECT("C236"))</f>
        <v>1</v>
      </c>
      <c r="AB236" s="61">
        <f ca="1">COUNTBLANK(INDIRECT("D236"))</f>
        <v>1</v>
      </c>
      <c r="AC236" s="61">
        <f ca="1">COUNTBLANK(INDIRECT("e236"))</f>
        <v>1</v>
      </c>
      <c r="AD236" s="61">
        <f ca="1">COUNTBLANK(INDIRECT("f236"))</f>
        <v>1</v>
      </c>
      <c r="AE236" s="61">
        <f ca="1">COUNTBLANK(INDIRECT("g236"))</f>
        <v>1</v>
      </c>
      <c r="AF236" s="61">
        <f ca="1">COUNTBLANK(INDIRECT("h236"))</f>
        <v>1</v>
      </c>
      <c r="AG236" s="61">
        <f ca="1">COUNTBLANK(INDIRECT("b236"))</f>
        <v>1</v>
      </c>
    </row>
    <row r="237" spans="1:33" x14ac:dyDescent="0.25">
      <c r="A237" s="2">
        <v>57</v>
      </c>
      <c r="B237" s="63"/>
      <c r="C237" s="56"/>
      <c r="D237" s="56"/>
      <c r="E237" s="56"/>
      <c r="F237" s="56"/>
      <c r="G237" s="56"/>
      <c r="H237" s="56"/>
      <c r="I237" s="117" t="str">
        <f ca="1">IF(AND(INDIRECT("H237")&gt;=INDIRECT("F237"),AA237=0,AB237=0,AC237=0,AF237=0),"Yes",IF(AND(INDIRECT("H237")&lt;INDIRECT("F237"),AA237=0,AB237=0,AC237=0,AF237=0),"No","N/A"))</f>
        <v>N/A</v>
      </c>
      <c r="J237" s="174" t="str">
        <f t="shared" ca="1" si="11"/>
        <v>No Error</v>
      </c>
      <c r="K237" s="174"/>
      <c r="L237" s="174"/>
      <c r="AA237" s="61">
        <f ca="1">COUNTBLANK(INDIRECT("C237"))</f>
        <v>1</v>
      </c>
      <c r="AB237" s="61">
        <f ca="1">COUNTBLANK(INDIRECT("D237"))</f>
        <v>1</v>
      </c>
      <c r="AC237" s="61">
        <f ca="1">COUNTBLANK(INDIRECT("e237"))</f>
        <v>1</v>
      </c>
      <c r="AD237" s="61">
        <f ca="1">COUNTBLANK(INDIRECT("f237"))</f>
        <v>1</v>
      </c>
      <c r="AE237" s="61">
        <f ca="1">COUNTBLANK(INDIRECT("g237"))</f>
        <v>1</v>
      </c>
      <c r="AF237" s="61">
        <f ca="1">COUNTBLANK(INDIRECT("h237"))</f>
        <v>1</v>
      </c>
      <c r="AG237" s="61">
        <f ca="1">COUNTBLANK(INDIRECT("b237"))</f>
        <v>1</v>
      </c>
    </row>
    <row r="238" spans="1:33" x14ac:dyDescent="0.25">
      <c r="A238" s="2">
        <v>58</v>
      </c>
      <c r="B238" s="63"/>
      <c r="C238" s="56"/>
      <c r="D238" s="56"/>
      <c r="E238" s="56"/>
      <c r="F238" s="56"/>
      <c r="G238" s="56"/>
      <c r="H238" s="56"/>
      <c r="I238" s="117" t="str">
        <f ca="1">IF(AND(INDIRECT("H238")&gt;=INDIRECT("F238"),AA238=0,AB238=0,AC238=0,AF238=0),"Yes",IF(AND(INDIRECT("H238")&lt;INDIRECT("F238"),AA238=0,AB238=0,AC238=0,AF238=0),"No","N/A"))</f>
        <v>N/A</v>
      </c>
      <c r="J238" s="174" t="str">
        <f t="shared" ca="1" si="11"/>
        <v>No Error</v>
      </c>
      <c r="K238" s="174"/>
      <c r="L238" s="174"/>
      <c r="AA238" s="61">
        <f ca="1">COUNTBLANK(INDIRECT("C238"))</f>
        <v>1</v>
      </c>
      <c r="AB238" s="61">
        <f ca="1">COUNTBLANK(INDIRECT("D238"))</f>
        <v>1</v>
      </c>
      <c r="AC238" s="61">
        <f ca="1">COUNTBLANK(INDIRECT("e238"))</f>
        <v>1</v>
      </c>
      <c r="AD238" s="61">
        <f ca="1">COUNTBLANK(INDIRECT("f238"))</f>
        <v>1</v>
      </c>
      <c r="AE238" s="61">
        <f ca="1">COUNTBLANK(INDIRECT("g238"))</f>
        <v>1</v>
      </c>
      <c r="AF238" s="61">
        <f ca="1">COUNTBLANK(INDIRECT("h238"))</f>
        <v>1</v>
      </c>
      <c r="AG238" s="61">
        <f ca="1">COUNTBLANK(INDIRECT("b238"))</f>
        <v>1</v>
      </c>
    </row>
    <row r="239" spans="1:33" x14ac:dyDescent="0.25">
      <c r="A239" s="2">
        <v>59</v>
      </c>
      <c r="B239" s="63"/>
      <c r="C239" s="56"/>
      <c r="D239" s="56"/>
      <c r="E239" s="56"/>
      <c r="F239" s="56"/>
      <c r="G239" s="56"/>
      <c r="H239" s="56"/>
      <c r="I239" s="117" t="str">
        <f ca="1">IF(AND(INDIRECT("H239")&gt;=INDIRECT("F239"),AA239=0,AB239=0,AC239=0,AF239=0),"Yes",IF(AND(INDIRECT("H239")&lt;INDIRECT("F239"),AA239=0,AB239=0,AC239=0,AF239=0),"No","N/A"))</f>
        <v>N/A</v>
      </c>
      <c r="J239" s="174" t="str">
        <f t="shared" ca="1" si="11"/>
        <v>No Error</v>
      </c>
      <c r="K239" s="174"/>
      <c r="L239" s="174"/>
      <c r="AA239" s="61">
        <f ca="1">COUNTBLANK(INDIRECT("C239"))</f>
        <v>1</v>
      </c>
      <c r="AB239" s="61">
        <f ca="1">COUNTBLANK(INDIRECT("D239"))</f>
        <v>1</v>
      </c>
      <c r="AC239" s="61">
        <f ca="1">COUNTBLANK(INDIRECT("e239"))</f>
        <v>1</v>
      </c>
      <c r="AD239" s="61">
        <f ca="1">COUNTBLANK(INDIRECT("f239"))</f>
        <v>1</v>
      </c>
      <c r="AE239" s="61">
        <f ca="1">COUNTBLANK(INDIRECT("g239"))</f>
        <v>1</v>
      </c>
      <c r="AF239" s="61">
        <f ca="1">COUNTBLANK(INDIRECT("h239"))</f>
        <v>1</v>
      </c>
      <c r="AG239" s="61">
        <f ca="1">COUNTBLANK(INDIRECT("b239"))</f>
        <v>1</v>
      </c>
    </row>
    <row r="240" spans="1:33" x14ac:dyDescent="0.25">
      <c r="A240" s="2">
        <v>60</v>
      </c>
      <c r="B240" s="63"/>
      <c r="C240" s="56"/>
      <c r="D240" s="56"/>
      <c r="E240" s="56"/>
      <c r="F240" s="56"/>
      <c r="G240" s="56"/>
      <c r="H240" s="56"/>
      <c r="I240" s="117" t="str">
        <f ca="1">IF(AND(INDIRECT("H240")&gt;=INDIRECT("F240"),AA240=0,AB240=0,AC240=0,AF240=0),"Yes",IF(AND(INDIRECT("H240")&lt;INDIRECT("F240"),AA240=0,AB240=0,AC240=0,AF240=0),"No","N/A"))</f>
        <v>N/A</v>
      </c>
      <c r="J240" s="174" t="str">
        <f t="shared" ca="1" si="11"/>
        <v>No Error</v>
      </c>
      <c r="K240" s="174"/>
      <c r="L240" s="174"/>
      <c r="AA240" s="61">
        <f ca="1">COUNTBLANK(INDIRECT("C240"))</f>
        <v>1</v>
      </c>
      <c r="AB240" s="61">
        <f ca="1">COUNTBLANK(INDIRECT("D240"))</f>
        <v>1</v>
      </c>
      <c r="AC240" s="61">
        <f ca="1">COUNTBLANK(INDIRECT("e240"))</f>
        <v>1</v>
      </c>
      <c r="AD240" s="61">
        <f ca="1">COUNTBLANK(INDIRECT("f240"))</f>
        <v>1</v>
      </c>
      <c r="AE240" s="61">
        <f ca="1">COUNTBLANK(INDIRECT("g240"))</f>
        <v>1</v>
      </c>
      <c r="AF240" s="61">
        <f ca="1">COUNTBLANK(INDIRECT("h240"))</f>
        <v>1</v>
      </c>
      <c r="AG240" s="61">
        <f ca="1">COUNTBLANK(INDIRECT("b240"))</f>
        <v>1</v>
      </c>
    </row>
    <row r="241" spans="1:33" x14ac:dyDescent="0.25">
      <c r="A241" s="2">
        <v>61</v>
      </c>
      <c r="B241" s="63"/>
      <c r="C241" s="56"/>
      <c r="D241" s="56"/>
      <c r="E241" s="56"/>
      <c r="F241" s="56"/>
      <c r="G241" s="56"/>
      <c r="H241" s="56"/>
      <c r="I241" s="117" t="str">
        <f ca="1">IF(AND(INDIRECT("H241")&gt;=INDIRECT("F241"),AA241=0,AB241=0,AC241=0,AF241=0),"Yes",IF(AND(INDIRECT("H241")&lt;INDIRECT("F241"),AA241=0,AB241=0,AC241=0,AF241=0),"No","N/A"))</f>
        <v>N/A</v>
      </c>
      <c r="J241" s="174" t="str">
        <f t="shared" ca="1" si="11"/>
        <v>No Error</v>
      </c>
      <c r="K241" s="174"/>
      <c r="L241" s="174"/>
      <c r="AA241" s="61">
        <f ca="1">COUNTBLANK(INDIRECT("C241"))</f>
        <v>1</v>
      </c>
      <c r="AB241" s="61">
        <f ca="1">COUNTBLANK(INDIRECT("D241"))</f>
        <v>1</v>
      </c>
      <c r="AC241" s="61">
        <f ca="1">COUNTBLANK(INDIRECT("e241"))</f>
        <v>1</v>
      </c>
      <c r="AD241" s="61">
        <f ca="1">COUNTBLANK(INDIRECT("f241"))</f>
        <v>1</v>
      </c>
      <c r="AE241" s="61">
        <f ca="1">COUNTBLANK(INDIRECT("g241"))</f>
        <v>1</v>
      </c>
      <c r="AF241" s="61">
        <f ca="1">COUNTBLANK(INDIRECT("h241"))</f>
        <v>1</v>
      </c>
      <c r="AG241" s="61">
        <f ca="1">COUNTBLANK(INDIRECT("b241"))</f>
        <v>1</v>
      </c>
    </row>
    <row r="242" spans="1:33" x14ac:dyDescent="0.25">
      <c r="A242" s="2">
        <v>62</v>
      </c>
      <c r="B242" s="63"/>
      <c r="C242" s="56"/>
      <c r="D242" s="56"/>
      <c r="E242" s="56"/>
      <c r="F242" s="56"/>
      <c r="G242" s="56"/>
      <c r="H242" s="56"/>
      <c r="I242" s="117" t="str">
        <f ca="1">IF(AND(INDIRECT("H242")&gt;=INDIRECT("F242"),AA242=0,AB242=0,AC242=0,AF242=0),"Yes",IF(AND(INDIRECT("H242")&lt;INDIRECT("F242"),AA242=0,AB242=0,AC242=0,AF242=0),"No","N/A"))</f>
        <v>N/A</v>
      </c>
      <c r="J242" s="174" t="str">
        <f t="shared" ca="1" si="11"/>
        <v>No Error</v>
      </c>
      <c r="K242" s="174"/>
      <c r="L242" s="174"/>
      <c r="AA242" s="61">
        <f ca="1">COUNTBLANK(INDIRECT("C242"))</f>
        <v>1</v>
      </c>
      <c r="AB242" s="61">
        <f ca="1">COUNTBLANK(INDIRECT("D242"))</f>
        <v>1</v>
      </c>
      <c r="AC242" s="61">
        <f ca="1">COUNTBLANK(INDIRECT("e242"))</f>
        <v>1</v>
      </c>
      <c r="AD242" s="61">
        <f ca="1">COUNTBLANK(INDIRECT("f242"))</f>
        <v>1</v>
      </c>
      <c r="AE242" s="61">
        <f ca="1">COUNTBLANK(INDIRECT("g242"))</f>
        <v>1</v>
      </c>
      <c r="AF242" s="61">
        <f ca="1">COUNTBLANK(INDIRECT("h242"))</f>
        <v>1</v>
      </c>
      <c r="AG242" s="61">
        <f ca="1">COUNTBLANK(INDIRECT("b242"))</f>
        <v>1</v>
      </c>
    </row>
    <row r="243" spans="1:33" x14ac:dyDescent="0.25">
      <c r="A243" s="2">
        <v>63</v>
      </c>
      <c r="B243" s="63"/>
      <c r="C243" s="56"/>
      <c r="D243" s="56"/>
      <c r="E243" s="56"/>
      <c r="F243" s="56"/>
      <c r="G243" s="56"/>
      <c r="H243" s="56"/>
      <c r="I243" s="117" t="str">
        <f ca="1">IF(AND(INDIRECT("H243")&gt;=INDIRECT("F243"),AA243=0,AB243=0,AC243=0,AF243=0),"Yes",IF(AND(INDIRECT("H243")&lt;INDIRECT("F243"),AA243=0,AB243=0,AC243=0,AF243=0),"No","N/A"))</f>
        <v>N/A</v>
      </c>
      <c r="J243" s="174" t="str">
        <f t="shared" ca="1" si="11"/>
        <v>No Error</v>
      </c>
      <c r="K243" s="174"/>
      <c r="L243" s="174"/>
      <c r="AA243" s="61">
        <f ca="1">COUNTBLANK(INDIRECT("C243"))</f>
        <v>1</v>
      </c>
      <c r="AB243" s="61">
        <f ca="1">COUNTBLANK(INDIRECT("D243"))</f>
        <v>1</v>
      </c>
      <c r="AC243" s="61">
        <f ca="1">COUNTBLANK(INDIRECT("e243"))</f>
        <v>1</v>
      </c>
      <c r="AD243" s="61">
        <f ca="1">COUNTBLANK(INDIRECT("f243"))</f>
        <v>1</v>
      </c>
      <c r="AE243" s="61">
        <f ca="1">COUNTBLANK(INDIRECT("g243"))</f>
        <v>1</v>
      </c>
      <c r="AF243" s="61">
        <f ca="1">COUNTBLANK(INDIRECT("h243"))</f>
        <v>1</v>
      </c>
      <c r="AG243" s="61">
        <f ca="1">COUNTBLANK(INDIRECT("b243"))</f>
        <v>1</v>
      </c>
    </row>
    <row r="244" spans="1:33" x14ac:dyDescent="0.25">
      <c r="A244" s="2">
        <v>64</v>
      </c>
      <c r="B244" s="63"/>
      <c r="C244" s="56"/>
      <c r="D244" s="56"/>
      <c r="E244" s="56"/>
      <c r="F244" s="56"/>
      <c r="G244" s="56"/>
      <c r="H244" s="56"/>
      <c r="I244" s="117" t="str">
        <f ca="1">IF(AND(INDIRECT("H244")&gt;=INDIRECT("F244"),AA244=0,AB244=0,AC244=0,AF244=0),"Yes",IF(AND(INDIRECT("H244")&lt;INDIRECT("F244"),AA244=0,AB244=0,AC244=0,AF244=0),"No","N/A"))</f>
        <v>N/A</v>
      </c>
      <c r="J244" s="174" t="str">
        <f t="shared" ca="1" si="11"/>
        <v>No Error</v>
      </c>
      <c r="K244" s="174"/>
      <c r="L244" s="174"/>
      <c r="AA244" s="61">
        <f ca="1">COUNTBLANK(INDIRECT("C244"))</f>
        <v>1</v>
      </c>
      <c r="AB244" s="61">
        <f ca="1">COUNTBLANK(INDIRECT("D244"))</f>
        <v>1</v>
      </c>
      <c r="AC244" s="61">
        <f ca="1">COUNTBLANK(INDIRECT("e244"))</f>
        <v>1</v>
      </c>
      <c r="AD244" s="61">
        <f ca="1">COUNTBLANK(INDIRECT("f244"))</f>
        <v>1</v>
      </c>
      <c r="AE244" s="61">
        <f ca="1">COUNTBLANK(INDIRECT("g244"))</f>
        <v>1</v>
      </c>
      <c r="AF244" s="61">
        <f ca="1">COUNTBLANK(INDIRECT("h244"))</f>
        <v>1</v>
      </c>
      <c r="AG244" s="61">
        <f ca="1">COUNTBLANK(INDIRECT("b244"))</f>
        <v>1</v>
      </c>
    </row>
    <row r="245" spans="1:33" x14ac:dyDescent="0.25">
      <c r="A245" s="2">
        <v>65</v>
      </c>
      <c r="B245" s="63"/>
      <c r="C245" s="56"/>
      <c r="D245" s="56"/>
      <c r="E245" s="56"/>
      <c r="F245" s="56"/>
      <c r="G245" s="56"/>
      <c r="H245" s="56"/>
      <c r="I245" s="117" t="str">
        <f ca="1">IF(AND(INDIRECT("H245")&gt;=INDIRECT("F245"),AA245=0,AB245=0,AC245=0,AF245=0),"Yes",IF(AND(INDIRECT("H245")&lt;INDIRECT("F245"),AA245=0,AB245=0,AC245=0,AF245=0),"No","N/A"))</f>
        <v>N/A</v>
      </c>
      <c r="J245" s="174" t="str">
        <f t="shared" ref="J245:J308" ca="1" si="12">IF(AND(AF245=0,AG245=0,AA245=0,AB245=0,AC245=0,AD245=0),"No Error",IF(AND(AF245=1,AG245=1,AA245=1,AB245=1,AC245=1,AD245=1),"No Error","Please supply all information"))</f>
        <v>No Error</v>
      </c>
      <c r="K245" s="174"/>
      <c r="L245" s="174"/>
      <c r="AA245" s="61">
        <f ca="1">COUNTBLANK(INDIRECT("C245"))</f>
        <v>1</v>
      </c>
      <c r="AB245" s="61">
        <f ca="1">COUNTBLANK(INDIRECT("D245"))</f>
        <v>1</v>
      </c>
      <c r="AC245" s="61">
        <f ca="1">COUNTBLANK(INDIRECT("e245"))</f>
        <v>1</v>
      </c>
      <c r="AD245" s="61">
        <f ca="1">COUNTBLANK(INDIRECT("f245"))</f>
        <v>1</v>
      </c>
      <c r="AE245" s="61">
        <f ca="1">COUNTBLANK(INDIRECT("g245"))</f>
        <v>1</v>
      </c>
      <c r="AF245" s="61">
        <f ca="1">COUNTBLANK(INDIRECT("h245"))</f>
        <v>1</v>
      </c>
      <c r="AG245" s="61">
        <f ca="1">COUNTBLANK(INDIRECT("b245"))</f>
        <v>1</v>
      </c>
    </row>
    <row r="246" spans="1:33" x14ac:dyDescent="0.25">
      <c r="A246" s="2">
        <v>66</v>
      </c>
      <c r="B246" s="63"/>
      <c r="C246" s="56"/>
      <c r="D246" s="56"/>
      <c r="E246" s="56"/>
      <c r="F246" s="56"/>
      <c r="G246" s="56"/>
      <c r="H246" s="56"/>
      <c r="I246" s="117" t="str">
        <f ca="1">IF(AND(INDIRECT("H246")&gt;=INDIRECT("F246"),AA246=0,AB246=0,AC246=0,AF246=0),"Yes",IF(AND(INDIRECT("H246")&lt;INDIRECT("F246"),AA246=0,AB246=0,AC246=0,AF246=0),"No","N/A"))</f>
        <v>N/A</v>
      </c>
      <c r="J246" s="174" t="str">
        <f t="shared" ca="1" si="12"/>
        <v>No Error</v>
      </c>
      <c r="K246" s="174"/>
      <c r="L246" s="174"/>
      <c r="AA246" s="61">
        <f ca="1">COUNTBLANK(INDIRECT("C246"))</f>
        <v>1</v>
      </c>
      <c r="AB246" s="61">
        <f ca="1">COUNTBLANK(INDIRECT("D246"))</f>
        <v>1</v>
      </c>
      <c r="AC246" s="61">
        <f ca="1">COUNTBLANK(INDIRECT("e246"))</f>
        <v>1</v>
      </c>
      <c r="AD246" s="61">
        <f ca="1">COUNTBLANK(INDIRECT("f246"))</f>
        <v>1</v>
      </c>
      <c r="AE246" s="61">
        <f ca="1">COUNTBLANK(INDIRECT("g246"))</f>
        <v>1</v>
      </c>
      <c r="AF246" s="61">
        <f ca="1">COUNTBLANK(INDIRECT("h246"))</f>
        <v>1</v>
      </c>
      <c r="AG246" s="61">
        <f ca="1">COUNTBLANK(INDIRECT("b246"))</f>
        <v>1</v>
      </c>
    </row>
    <row r="247" spans="1:33" x14ac:dyDescent="0.25">
      <c r="A247" s="2">
        <v>67</v>
      </c>
      <c r="B247" s="63"/>
      <c r="C247" s="56"/>
      <c r="D247" s="56"/>
      <c r="E247" s="56"/>
      <c r="F247" s="56"/>
      <c r="G247" s="56"/>
      <c r="H247" s="56"/>
      <c r="I247" s="117" t="str">
        <f ca="1">IF(AND(INDIRECT("H247")&gt;=INDIRECT("F247"),AA247=0,AB247=0,AC247=0,AF247=0),"Yes",IF(AND(INDIRECT("H247")&lt;INDIRECT("F247"),AA247=0,AB247=0,AC247=0,AF247=0),"No","N/A"))</f>
        <v>N/A</v>
      </c>
      <c r="J247" s="174" t="str">
        <f t="shared" ca="1" si="12"/>
        <v>No Error</v>
      </c>
      <c r="K247" s="174"/>
      <c r="L247" s="174"/>
      <c r="AA247" s="61">
        <f ca="1">COUNTBLANK(INDIRECT("C247"))</f>
        <v>1</v>
      </c>
      <c r="AB247" s="61">
        <f ca="1">COUNTBLANK(INDIRECT("D247"))</f>
        <v>1</v>
      </c>
      <c r="AC247" s="61">
        <f ca="1">COUNTBLANK(INDIRECT("e247"))</f>
        <v>1</v>
      </c>
      <c r="AD247" s="61">
        <f ca="1">COUNTBLANK(INDIRECT("f247"))</f>
        <v>1</v>
      </c>
      <c r="AE247" s="61">
        <f ca="1">COUNTBLANK(INDIRECT("g247"))</f>
        <v>1</v>
      </c>
      <c r="AF247" s="61">
        <f ca="1">COUNTBLANK(INDIRECT("h247"))</f>
        <v>1</v>
      </c>
      <c r="AG247" s="61">
        <f ca="1">COUNTBLANK(INDIRECT("b247"))</f>
        <v>1</v>
      </c>
    </row>
    <row r="248" spans="1:33" x14ac:dyDescent="0.25">
      <c r="A248" s="2">
        <v>68</v>
      </c>
      <c r="B248" s="63"/>
      <c r="C248" s="56"/>
      <c r="D248" s="56"/>
      <c r="E248" s="56"/>
      <c r="F248" s="56"/>
      <c r="G248" s="56"/>
      <c r="H248" s="56"/>
      <c r="I248" s="117" t="str">
        <f ca="1">IF(AND(INDIRECT("H248")&gt;=INDIRECT("F248"),AA248=0,AB248=0,AC248=0,AF248=0),"Yes",IF(AND(INDIRECT("H248")&lt;INDIRECT("F248"),AA248=0,AB248=0,AC248=0,AF248=0),"No","N/A"))</f>
        <v>N/A</v>
      </c>
      <c r="J248" s="174" t="str">
        <f t="shared" ca="1" si="12"/>
        <v>No Error</v>
      </c>
      <c r="K248" s="174"/>
      <c r="L248" s="174"/>
      <c r="AA248" s="61">
        <f ca="1">COUNTBLANK(INDIRECT("C248"))</f>
        <v>1</v>
      </c>
      <c r="AB248" s="61">
        <f ca="1">COUNTBLANK(INDIRECT("D248"))</f>
        <v>1</v>
      </c>
      <c r="AC248" s="61">
        <f ca="1">COUNTBLANK(INDIRECT("e248"))</f>
        <v>1</v>
      </c>
      <c r="AD248" s="61">
        <f ca="1">COUNTBLANK(INDIRECT("f248"))</f>
        <v>1</v>
      </c>
      <c r="AE248" s="61">
        <f ca="1">COUNTBLANK(INDIRECT("g248"))</f>
        <v>1</v>
      </c>
      <c r="AF248" s="61">
        <f ca="1">COUNTBLANK(INDIRECT("h248"))</f>
        <v>1</v>
      </c>
      <c r="AG248" s="61">
        <f ca="1">COUNTBLANK(INDIRECT("b248"))</f>
        <v>1</v>
      </c>
    </row>
    <row r="249" spans="1:33" x14ac:dyDescent="0.25">
      <c r="A249" s="2">
        <v>69</v>
      </c>
      <c r="B249" s="63"/>
      <c r="C249" s="56"/>
      <c r="D249" s="56"/>
      <c r="E249" s="56"/>
      <c r="F249" s="56"/>
      <c r="G249" s="56"/>
      <c r="H249" s="56"/>
      <c r="I249" s="117" t="str">
        <f ca="1">IF(AND(INDIRECT("H249")&gt;=INDIRECT("F249"),AA249=0,AB249=0,AC249=0,AF249=0),"Yes",IF(AND(INDIRECT("H249")&lt;INDIRECT("F249"),AA249=0,AB249=0,AC249=0,AF249=0),"No","N/A"))</f>
        <v>N/A</v>
      </c>
      <c r="J249" s="174" t="str">
        <f t="shared" ca="1" si="12"/>
        <v>No Error</v>
      </c>
      <c r="K249" s="174"/>
      <c r="L249" s="174"/>
      <c r="AA249" s="61">
        <f ca="1">COUNTBLANK(INDIRECT("C249"))</f>
        <v>1</v>
      </c>
      <c r="AB249" s="61">
        <f ca="1">COUNTBLANK(INDIRECT("D249"))</f>
        <v>1</v>
      </c>
      <c r="AC249" s="61">
        <f ca="1">COUNTBLANK(INDIRECT("e249"))</f>
        <v>1</v>
      </c>
      <c r="AD249" s="61">
        <f ca="1">COUNTBLANK(INDIRECT("f249"))</f>
        <v>1</v>
      </c>
      <c r="AE249" s="61">
        <f ca="1">COUNTBLANK(INDIRECT("g249"))</f>
        <v>1</v>
      </c>
      <c r="AF249" s="61">
        <f ca="1">COUNTBLANK(INDIRECT("h249"))</f>
        <v>1</v>
      </c>
      <c r="AG249" s="61">
        <f ca="1">COUNTBLANK(INDIRECT("b249"))</f>
        <v>1</v>
      </c>
    </row>
    <row r="250" spans="1:33" x14ac:dyDescent="0.25">
      <c r="A250" s="2">
        <v>70</v>
      </c>
      <c r="B250" s="63"/>
      <c r="C250" s="56"/>
      <c r="D250" s="56"/>
      <c r="E250" s="56"/>
      <c r="F250" s="56"/>
      <c r="G250" s="56"/>
      <c r="H250" s="56"/>
      <c r="I250" s="117" t="str">
        <f ca="1">IF(AND(INDIRECT("H250")&gt;=INDIRECT("F250"),AA250=0,AB250=0,AC250=0,AF250=0),"Yes",IF(AND(INDIRECT("H250")&lt;INDIRECT("F250"),AA250=0,AB250=0,AC250=0,AF250=0),"No","N/A"))</f>
        <v>N/A</v>
      </c>
      <c r="J250" s="174" t="str">
        <f t="shared" ca="1" si="12"/>
        <v>No Error</v>
      </c>
      <c r="K250" s="174"/>
      <c r="L250" s="174"/>
      <c r="AA250" s="61">
        <f ca="1">COUNTBLANK(INDIRECT("C250"))</f>
        <v>1</v>
      </c>
      <c r="AB250" s="61">
        <f ca="1">COUNTBLANK(INDIRECT("D250"))</f>
        <v>1</v>
      </c>
      <c r="AC250" s="61">
        <f ca="1">COUNTBLANK(INDIRECT("e250"))</f>
        <v>1</v>
      </c>
      <c r="AD250" s="61">
        <f ca="1">COUNTBLANK(INDIRECT("f250"))</f>
        <v>1</v>
      </c>
      <c r="AE250" s="61">
        <f ca="1">COUNTBLANK(INDIRECT("g250"))</f>
        <v>1</v>
      </c>
      <c r="AF250" s="61">
        <f ca="1">COUNTBLANK(INDIRECT("h250"))</f>
        <v>1</v>
      </c>
      <c r="AG250" s="61">
        <f ca="1">COUNTBLANK(INDIRECT("b250"))</f>
        <v>1</v>
      </c>
    </row>
    <row r="251" spans="1:33" x14ac:dyDescent="0.25">
      <c r="A251" s="2">
        <v>71</v>
      </c>
      <c r="B251" s="63"/>
      <c r="C251" s="56"/>
      <c r="D251" s="56"/>
      <c r="E251" s="56"/>
      <c r="F251" s="56"/>
      <c r="G251" s="56"/>
      <c r="H251" s="56"/>
      <c r="I251" s="117" t="str">
        <f ca="1">IF(AND(INDIRECT("H251")&gt;=INDIRECT("F251"),AA251=0,AB251=0,AC251=0,AF251=0),"Yes",IF(AND(INDIRECT("H251")&lt;INDIRECT("F251"),AA251=0,AB251=0,AC251=0,AF251=0),"No","N/A"))</f>
        <v>N/A</v>
      </c>
      <c r="J251" s="174" t="str">
        <f t="shared" ca="1" si="12"/>
        <v>No Error</v>
      </c>
      <c r="K251" s="174"/>
      <c r="L251" s="174"/>
      <c r="AA251" s="61">
        <f ca="1">COUNTBLANK(INDIRECT("C251"))</f>
        <v>1</v>
      </c>
      <c r="AB251" s="61">
        <f ca="1">COUNTBLANK(INDIRECT("D251"))</f>
        <v>1</v>
      </c>
      <c r="AC251" s="61">
        <f ca="1">COUNTBLANK(INDIRECT("e251"))</f>
        <v>1</v>
      </c>
      <c r="AD251" s="61">
        <f ca="1">COUNTBLANK(INDIRECT("f251"))</f>
        <v>1</v>
      </c>
      <c r="AE251" s="61">
        <f ca="1">COUNTBLANK(INDIRECT("g251"))</f>
        <v>1</v>
      </c>
      <c r="AF251" s="61">
        <f ca="1">COUNTBLANK(INDIRECT("h251"))</f>
        <v>1</v>
      </c>
      <c r="AG251" s="61">
        <f ca="1">COUNTBLANK(INDIRECT("b251"))</f>
        <v>1</v>
      </c>
    </row>
    <row r="252" spans="1:33" x14ac:dyDescent="0.25">
      <c r="A252" s="2">
        <v>72</v>
      </c>
      <c r="B252" s="63"/>
      <c r="C252" s="56"/>
      <c r="D252" s="56"/>
      <c r="E252" s="56"/>
      <c r="F252" s="56"/>
      <c r="G252" s="56"/>
      <c r="H252" s="56"/>
      <c r="I252" s="117" t="str">
        <f ca="1">IF(AND(INDIRECT("H252")&gt;=INDIRECT("F252"),AA252=0,AB252=0,AC252=0,AF252=0),"Yes",IF(AND(INDIRECT("H252")&lt;INDIRECT("F252"),AA252=0,AB252=0,AC252=0,AF252=0),"No","N/A"))</f>
        <v>N/A</v>
      </c>
      <c r="J252" s="174" t="str">
        <f t="shared" ca="1" si="12"/>
        <v>No Error</v>
      </c>
      <c r="K252" s="174"/>
      <c r="L252" s="174"/>
      <c r="AA252" s="61">
        <f ca="1">COUNTBLANK(INDIRECT("C252"))</f>
        <v>1</v>
      </c>
      <c r="AB252" s="61">
        <f ca="1">COUNTBLANK(INDIRECT("D252"))</f>
        <v>1</v>
      </c>
      <c r="AC252" s="61">
        <f ca="1">COUNTBLANK(INDIRECT("e252"))</f>
        <v>1</v>
      </c>
      <c r="AD252" s="61">
        <f ca="1">COUNTBLANK(INDIRECT("f252"))</f>
        <v>1</v>
      </c>
      <c r="AE252" s="61">
        <f ca="1">COUNTBLANK(INDIRECT("g252"))</f>
        <v>1</v>
      </c>
      <c r="AF252" s="61">
        <f ca="1">COUNTBLANK(INDIRECT("h252"))</f>
        <v>1</v>
      </c>
      <c r="AG252" s="61">
        <f ca="1">COUNTBLANK(INDIRECT("b252"))</f>
        <v>1</v>
      </c>
    </row>
    <row r="253" spans="1:33" x14ac:dyDescent="0.25">
      <c r="A253" s="2">
        <v>73</v>
      </c>
      <c r="B253" s="63"/>
      <c r="C253" s="56"/>
      <c r="D253" s="56"/>
      <c r="E253" s="56"/>
      <c r="F253" s="56"/>
      <c r="G253" s="56"/>
      <c r="H253" s="56"/>
      <c r="I253" s="117" t="str">
        <f ca="1">IF(AND(INDIRECT("H253")&gt;=INDIRECT("F253"),AA253=0,AB253=0,AC253=0,AF253=0),"Yes",IF(AND(INDIRECT("H253")&lt;INDIRECT("F253"),AA253=0,AB253=0,AC253=0,AF253=0),"No","N/A"))</f>
        <v>N/A</v>
      </c>
      <c r="J253" s="174" t="str">
        <f t="shared" ca="1" si="12"/>
        <v>No Error</v>
      </c>
      <c r="K253" s="174"/>
      <c r="L253" s="174"/>
      <c r="AA253" s="61">
        <f ca="1">COUNTBLANK(INDIRECT("C253"))</f>
        <v>1</v>
      </c>
      <c r="AB253" s="61">
        <f ca="1">COUNTBLANK(INDIRECT("D253"))</f>
        <v>1</v>
      </c>
      <c r="AC253" s="61">
        <f ca="1">COUNTBLANK(INDIRECT("e253"))</f>
        <v>1</v>
      </c>
      <c r="AD253" s="61">
        <f ca="1">COUNTBLANK(INDIRECT("f253"))</f>
        <v>1</v>
      </c>
      <c r="AE253" s="61">
        <f ca="1">COUNTBLANK(INDIRECT("g253"))</f>
        <v>1</v>
      </c>
      <c r="AF253" s="61">
        <f ca="1">COUNTBLANK(INDIRECT("h253"))</f>
        <v>1</v>
      </c>
      <c r="AG253" s="61">
        <f ca="1">COUNTBLANK(INDIRECT("b253"))</f>
        <v>1</v>
      </c>
    </row>
    <row r="254" spans="1:33" x14ac:dyDescent="0.25">
      <c r="A254" s="2">
        <v>74</v>
      </c>
      <c r="B254" s="63"/>
      <c r="C254" s="56"/>
      <c r="D254" s="56"/>
      <c r="E254" s="56"/>
      <c r="F254" s="56"/>
      <c r="G254" s="56"/>
      <c r="H254" s="56"/>
      <c r="I254" s="117" t="str">
        <f ca="1">IF(AND(INDIRECT("H254")&gt;=INDIRECT("F254"),AA254=0,AB254=0,AC254=0,AF254=0),"Yes",IF(AND(INDIRECT("H254")&lt;INDIRECT("F254"),AA254=0,AB254=0,AC254=0,AF254=0),"No","N/A"))</f>
        <v>N/A</v>
      </c>
      <c r="J254" s="174" t="str">
        <f t="shared" ca="1" si="12"/>
        <v>No Error</v>
      </c>
      <c r="K254" s="174"/>
      <c r="L254" s="174"/>
      <c r="AA254" s="61">
        <f ca="1">COUNTBLANK(INDIRECT("C254"))</f>
        <v>1</v>
      </c>
      <c r="AB254" s="61">
        <f ca="1">COUNTBLANK(INDIRECT("D254"))</f>
        <v>1</v>
      </c>
      <c r="AC254" s="61">
        <f ca="1">COUNTBLANK(INDIRECT("e254"))</f>
        <v>1</v>
      </c>
      <c r="AD254" s="61">
        <f ca="1">COUNTBLANK(INDIRECT("f254"))</f>
        <v>1</v>
      </c>
      <c r="AE254" s="61">
        <f ca="1">COUNTBLANK(INDIRECT("g254"))</f>
        <v>1</v>
      </c>
      <c r="AF254" s="61">
        <f ca="1">COUNTBLANK(INDIRECT("h254"))</f>
        <v>1</v>
      </c>
      <c r="AG254" s="61">
        <f ca="1">COUNTBLANK(INDIRECT("b254"))</f>
        <v>1</v>
      </c>
    </row>
    <row r="255" spans="1:33" x14ac:dyDescent="0.25">
      <c r="A255" s="2">
        <v>75</v>
      </c>
      <c r="B255" s="63"/>
      <c r="C255" s="56"/>
      <c r="D255" s="56"/>
      <c r="E255" s="56"/>
      <c r="F255" s="56"/>
      <c r="G255" s="56"/>
      <c r="H255" s="56"/>
      <c r="I255" s="117" t="str">
        <f ca="1">IF(AND(INDIRECT("H255")&gt;=INDIRECT("F255"),AA255=0,AB255=0,AC255=0,AF255=0),"Yes",IF(AND(INDIRECT("H255")&lt;INDIRECT("F255"),AA255=0,AB255=0,AC255=0,AF255=0),"No","N/A"))</f>
        <v>N/A</v>
      </c>
      <c r="J255" s="174" t="str">
        <f t="shared" ca="1" si="12"/>
        <v>No Error</v>
      </c>
      <c r="K255" s="174"/>
      <c r="L255" s="174"/>
      <c r="AA255" s="61">
        <f ca="1">COUNTBLANK(INDIRECT("C255"))</f>
        <v>1</v>
      </c>
      <c r="AB255" s="61">
        <f ca="1">COUNTBLANK(INDIRECT("D255"))</f>
        <v>1</v>
      </c>
      <c r="AC255" s="61">
        <f ca="1">COUNTBLANK(INDIRECT("e255"))</f>
        <v>1</v>
      </c>
      <c r="AD255" s="61">
        <f ca="1">COUNTBLANK(INDIRECT("f255"))</f>
        <v>1</v>
      </c>
      <c r="AE255" s="61">
        <f ca="1">COUNTBLANK(INDIRECT("g255"))</f>
        <v>1</v>
      </c>
      <c r="AF255" s="61">
        <f ca="1">COUNTBLANK(INDIRECT("h255"))</f>
        <v>1</v>
      </c>
      <c r="AG255" s="61">
        <f ca="1">COUNTBLANK(INDIRECT("b255"))</f>
        <v>1</v>
      </c>
    </row>
    <row r="256" spans="1:33" x14ac:dyDescent="0.25">
      <c r="A256" s="2">
        <v>76</v>
      </c>
      <c r="B256" s="63"/>
      <c r="C256" s="56"/>
      <c r="D256" s="56"/>
      <c r="E256" s="56"/>
      <c r="F256" s="56"/>
      <c r="G256" s="56"/>
      <c r="H256" s="56"/>
      <c r="I256" s="117" t="str">
        <f ca="1">IF(AND(INDIRECT("H256")&gt;=INDIRECT("F256"),AA256=0,AB256=0,AC256=0,AF256=0),"Yes",IF(AND(INDIRECT("H256")&lt;INDIRECT("F256"),AA256=0,AB256=0,AC256=0,AF256=0),"No","N/A"))</f>
        <v>N/A</v>
      </c>
      <c r="J256" s="174" t="str">
        <f t="shared" ca="1" si="12"/>
        <v>No Error</v>
      </c>
      <c r="K256" s="174"/>
      <c r="L256" s="174"/>
      <c r="AA256" s="61">
        <f ca="1">COUNTBLANK(INDIRECT("C256"))</f>
        <v>1</v>
      </c>
      <c r="AB256" s="61">
        <f ca="1">COUNTBLANK(INDIRECT("D256"))</f>
        <v>1</v>
      </c>
      <c r="AC256" s="61">
        <f ca="1">COUNTBLANK(INDIRECT("e256"))</f>
        <v>1</v>
      </c>
      <c r="AD256" s="61">
        <f ca="1">COUNTBLANK(INDIRECT("f256"))</f>
        <v>1</v>
      </c>
      <c r="AE256" s="61">
        <f ca="1">COUNTBLANK(INDIRECT("g256"))</f>
        <v>1</v>
      </c>
      <c r="AF256" s="61">
        <f ca="1">COUNTBLANK(INDIRECT("h256"))</f>
        <v>1</v>
      </c>
      <c r="AG256" s="61">
        <f ca="1">COUNTBLANK(INDIRECT("b256"))</f>
        <v>1</v>
      </c>
    </row>
    <row r="257" spans="1:33" x14ac:dyDescent="0.25">
      <c r="A257" s="2">
        <v>77</v>
      </c>
      <c r="B257" s="63"/>
      <c r="C257" s="56"/>
      <c r="D257" s="56"/>
      <c r="E257" s="56"/>
      <c r="F257" s="56"/>
      <c r="G257" s="56"/>
      <c r="H257" s="56"/>
      <c r="I257" s="117" t="str">
        <f ca="1">IF(AND(INDIRECT("H257")&gt;=INDIRECT("F257"),AA257=0,AB257=0,AC257=0,AF257=0),"Yes",IF(AND(INDIRECT("H257")&lt;INDIRECT("F257"),AA257=0,AB257=0,AC257=0,AF257=0),"No","N/A"))</f>
        <v>N/A</v>
      </c>
      <c r="J257" s="174" t="str">
        <f t="shared" ca="1" si="12"/>
        <v>No Error</v>
      </c>
      <c r="K257" s="174"/>
      <c r="L257" s="174"/>
      <c r="AA257" s="61">
        <f ca="1">COUNTBLANK(INDIRECT("C257"))</f>
        <v>1</v>
      </c>
      <c r="AB257" s="61">
        <f ca="1">COUNTBLANK(INDIRECT("D257"))</f>
        <v>1</v>
      </c>
      <c r="AC257" s="61">
        <f ca="1">COUNTBLANK(INDIRECT("e257"))</f>
        <v>1</v>
      </c>
      <c r="AD257" s="61">
        <f ca="1">COUNTBLANK(INDIRECT("f257"))</f>
        <v>1</v>
      </c>
      <c r="AE257" s="61">
        <f ca="1">COUNTBLANK(INDIRECT("g257"))</f>
        <v>1</v>
      </c>
      <c r="AF257" s="61">
        <f ca="1">COUNTBLANK(INDIRECT("h257"))</f>
        <v>1</v>
      </c>
      <c r="AG257" s="61">
        <f ca="1">COUNTBLANK(INDIRECT("b257"))</f>
        <v>1</v>
      </c>
    </row>
    <row r="258" spans="1:33" x14ac:dyDescent="0.25">
      <c r="A258" s="2">
        <v>78</v>
      </c>
      <c r="B258" s="63"/>
      <c r="C258" s="56"/>
      <c r="D258" s="56"/>
      <c r="E258" s="56"/>
      <c r="F258" s="56"/>
      <c r="G258" s="56"/>
      <c r="H258" s="56"/>
      <c r="I258" s="117" t="str">
        <f ca="1">IF(AND(INDIRECT("H258")&gt;=INDIRECT("F258"),AA258=0,AB258=0,AC258=0,AF258=0),"Yes",IF(AND(INDIRECT("H258")&lt;INDIRECT("F258"),AA258=0,AB258=0,AC258=0,AF258=0),"No","N/A"))</f>
        <v>N/A</v>
      </c>
      <c r="J258" s="174" t="str">
        <f t="shared" ca="1" si="12"/>
        <v>No Error</v>
      </c>
      <c r="K258" s="174"/>
      <c r="L258" s="174"/>
      <c r="AA258" s="61">
        <f ca="1">COUNTBLANK(INDIRECT("C258"))</f>
        <v>1</v>
      </c>
      <c r="AB258" s="61">
        <f ca="1">COUNTBLANK(INDIRECT("D258"))</f>
        <v>1</v>
      </c>
      <c r="AC258" s="61">
        <f ca="1">COUNTBLANK(INDIRECT("e258"))</f>
        <v>1</v>
      </c>
      <c r="AD258" s="61">
        <f ca="1">COUNTBLANK(INDIRECT("f258"))</f>
        <v>1</v>
      </c>
      <c r="AE258" s="61">
        <f ca="1">COUNTBLANK(INDIRECT("g258"))</f>
        <v>1</v>
      </c>
      <c r="AF258" s="61">
        <f ca="1">COUNTBLANK(INDIRECT("h258"))</f>
        <v>1</v>
      </c>
      <c r="AG258" s="61">
        <f ca="1">COUNTBLANK(INDIRECT("b258"))</f>
        <v>1</v>
      </c>
    </row>
    <row r="259" spans="1:33" x14ac:dyDescent="0.25">
      <c r="A259" s="2">
        <v>79</v>
      </c>
      <c r="B259" s="63"/>
      <c r="C259" s="56"/>
      <c r="D259" s="56"/>
      <c r="E259" s="56"/>
      <c r="F259" s="56"/>
      <c r="G259" s="56"/>
      <c r="H259" s="56"/>
      <c r="I259" s="117" t="str">
        <f ca="1">IF(AND(INDIRECT("H259")&gt;=INDIRECT("F259"),AA259=0,AB259=0,AC259=0,AF259=0),"Yes",IF(AND(INDIRECT("H259")&lt;INDIRECT("F259"),AA259=0,AB259=0,AC259=0,AF259=0),"No","N/A"))</f>
        <v>N/A</v>
      </c>
      <c r="J259" s="174" t="str">
        <f t="shared" ca="1" si="12"/>
        <v>No Error</v>
      </c>
      <c r="K259" s="174"/>
      <c r="L259" s="174"/>
      <c r="AA259" s="61">
        <f ca="1">COUNTBLANK(INDIRECT("C259"))</f>
        <v>1</v>
      </c>
      <c r="AB259" s="61">
        <f ca="1">COUNTBLANK(INDIRECT("D259"))</f>
        <v>1</v>
      </c>
      <c r="AC259" s="61">
        <f ca="1">COUNTBLANK(INDIRECT("e259"))</f>
        <v>1</v>
      </c>
      <c r="AD259" s="61">
        <f ca="1">COUNTBLANK(INDIRECT("f259"))</f>
        <v>1</v>
      </c>
      <c r="AE259" s="61">
        <f ca="1">COUNTBLANK(INDIRECT("g259"))</f>
        <v>1</v>
      </c>
      <c r="AF259" s="61">
        <f ca="1">COUNTBLANK(INDIRECT("h259"))</f>
        <v>1</v>
      </c>
      <c r="AG259" s="61">
        <f ca="1">COUNTBLANK(INDIRECT("b259"))</f>
        <v>1</v>
      </c>
    </row>
    <row r="260" spans="1:33" x14ac:dyDescent="0.25">
      <c r="A260" s="2">
        <v>80</v>
      </c>
      <c r="B260" s="63"/>
      <c r="C260" s="56"/>
      <c r="D260" s="56"/>
      <c r="E260" s="56"/>
      <c r="F260" s="56"/>
      <c r="G260" s="56"/>
      <c r="H260" s="56"/>
      <c r="I260" s="117" t="str">
        <f ca="1">IF(AND(INDIRECT("H260")&gt;=INDIRECT("F260"),AA260=0,AB260=0,AC260=0,AF260=0),"Yes",IF(AND(INDIRECT("H260")&lt;INDIRECT("F260"),AA260=0,AB260=0,AC260=0,AF260=0),"No","N/A"))</f>
        <v>N/A</v>
      </c>
      <c r="J260" s="174" t="str">
        <f t="shared" ca="1" si="12"/>
        <v>No Error</v>
      </c>
      <c r="K260" s="174"/>
      <c r="L260" s="174"/>
      <c r="AA260" s="61">
        <f ca="1">COUNTBLANK(INDIRECT("C260"))</f>
        <v>1</v>
      </c>
      <c r="AB260" s="61">
        <f ca="1">COUNTBLANK(INDIRECT("D260"))</f>
        <v>1</v>
      </c>
      <c r="AC260" s="61">
        <f ca="1">COUNTBLANK(INDIRECT("e260"))</f>
        <v>1</v>
      </c>
      <c r="AD260" s="61">
        <f ca="1">COUNTBLANK(INDIRECT("f260"))</f>
        <v>1</v>
      </c>
      <c r="AE260" s="61">
        <f ca="1">COUNTBLANK(INDIRECT("g260"))</f>
        <v>1</v>
      </c>
      <c r="AF260" s="61">
        <f ca="1">COUNTBLANK(INDIRECT("h260"))</f>
        <v>1</v>
      </c>
      <c r="AG260" s="61">
        <f ca="1">COUNTBLANK(INDIRECT("b260"))</f>
        <v>1</v>
      </c>
    </row>
    <row r="261" spans="1:33" x14ac:dyDescent="0.25">
      <c r="A261" s="2">
        <v>81</v>
      </c>
      <c r="B261" s="63"/>
      <c r="C261" s="56"/>
      <c r="D261" s="56"/>
      <c r="E261" s="56"/>
      <c r="F261" s="56"/>
      <c r="G261" s="56"/>
      <c r="H261" s="56"/>
      <c r="I261" s="117" t="str">
        <f ca="1">IF(AND(INDIRECT("H261")&gt;=INDIRECT("F261"),AA261=0,AB261=0,AC261=0,AF261=0),"Yes",IF(AND(INDIRECT("H261")&lt;INDIRECT("F261"),AA261=0,AB261=0,AC261=0,AF261=0),"No","N/A"))</f>
        <v>N/A</v>
      </c>
      <c r="J261" s="174" t="str">
        <f t="shared" ca="1" si="12"/>
        <v>No Error</v>
      </c>
      <c r="K261" s="174"/>
      <c r="L261" s="174"/>
      <c r="AA261" s="61">
        <f ca="1">COUNTBLANK(INDIRECT("C261"))</f>
        <v>1</v>
      </c>
      <c r="AB261" s="61">
        <f ca="1">COUNTBLANK(INDIRECT("D261"))</f>
        <v>1</v>
      </c>
      <c r="AC261" s="61">
        <f ca="1">COUNTBLANK(INDIRECT("e261"))</f>
        <v>1</v>
      </c>
      <c r="AD261" s="61">
        <f ca="1">COUNTBLANK(INDIRECT("f261"))</f>
        <v>1</v>
      </c>
      <c r="AE261" s="61">
        <f ca="1">COUNTBLANK(INDIRECT("g261"))</f>
        <v>1</v>
      </c>
      <c r="AF261" s="61">
        <f ca="1">COUNTBLANK(INDIRECT("h261"))</f>
        <v>1</v>
      </c>
      <c r="AG261" s="61">
        <f ca="1">COUNTBLANK(INDIRECT("b261"))</f>
        <v>1</v>
      </c>
    </row>
    <row r="262" spans="1:33" x14ac:dyDescent="0.25">
      <c r="A262" s="2">
        <v>82</v>
      </c>
      <c r="B262" s="63"/>
      <c r="C262" s="56"/>
      <c r="D262" s="56"/>
      <c r="E262" s="56"/>
      <c r="F262" s="56"/>
      <c r="G262" s="56"/>
      <c r="H262" s="56"/>
      <c r="I262" s="117" t="str">
        <f ca="1">IF(AND(INDIRECT("H262")&gt;=INDIRECT("F262"),AA262=0,AB262=0,AC262=0,AF262=0),"Yes",IF(AND(INDIRECT("H262")&lt;INDIRECT("F262"),AA262=0,AB262=0,AC262=0,AF262=0),"No","N/A"))</f>
        <v>N/A</v>
      </c>
      <c r="J262" s="174" t="str">
        <f t="shared" ca="1" si="12"/>
        <v>No Error</v>
      </c>
      <c r="K262" s="174"/>
      <c r="L262" s="174"/>
      <c r="AA262" s="61">
        <f ca="1">COUNTBLANK(INDIRECT("C262"))</f>
        <v>1</v>
      </c>
      <c r="AB262" s="61">
        <f ca="1">COUNTBLANK(INDIRECT("D262"))</f>
        <v>1</v>
      </c>
      <c r="AC262" s="61">
        <f ca="1">COUNTBLANK(INDIRECT("e262"))</f>
        <v>1</v>
      </c>
      <c r="AD262" s="61">
        <f ca="1">COUNTBLANK(INDIRECT("f262"))</f>
        <v>1</v>
      </c>
      <c r="AE262" s="61">
        <f ca="1">COUNTBLANK(INDIRECT("g262"))</f>
        <v>1</v>
      </c>
      <c r="AF262" s="61">
        <f ca="1">COUNTBLANK(INDIRECT("h262"))</f>
        <v>1</v>
      </c>
      <c r="AG262" s="61">
        <f ca="1">COUNTBLANK(INDIRECT("b262"))</f>
        <v>1</v>
      </c>
    </row>
    <row r="263" spans="1:33" x14ac:dyDescent="0.25">
      <c r="A263" s="2">
        <v>83</v>
      </c>
      <c r="B263" s="63"/>
      <c r="C263" s="56"/>
      <c r="D263" s="56"/>
      <c r="E263" s="56"/>
      <c r="F263" s="56"/>
      <c r="G263" s="56"/>
      <c r="H263" s="56"/>
      <c r="I263" s="117" t="str">
        <f ca="1">IF(AND(INDIRECT("H263")&gt;=INDIRECT("F263"),AA263=0,AB263=0,AC263=0,AF263=0),"Yes",IF(AND(INDIRECT("H263")&lt;INDIRECT("F263"),AA263=0,AB263=0,AC263=0,AF263=0),"No","N/A"))</f>
        <v>N/A</v>
      </c>
      <c r="J263" s="174" t="str">
        <f t="shared" ca="1" si="12"/>
        <v>No Error</v>
      </c>
      <c r="K263" s="174"/>
      <c r="L263" s="174"/>
      <c r="AA263" s="61">
        <f ca="1">COUNTBLANK(INDIRECT("C263"))</f>
        <v>1</v>
      </c>
      <c r="AB263" s="61">
        <f ca="1">COUNTBLANK(INDIRECT("D263"))</f>
        <v>1</v>
      </c>
      <c r="AC263" s="61">
        <f ca="1">COUNTBLANK(INDIRECT("e263"))</f>
        <v>1</v>
      </c>
      <c r="AD263" s="61">
        <f ca="1">COUNTBLANK(INDIRECT("f263"))</f>
        <v>1</v>
      </c>
      <c r="AE263" s="61">
        <f ca="1">COUNTBLANK(INDIRECT("g263"))</f>
        <v>1</v>
      </c>
      <c r="AF263" s="61">
        <f ca="1">COUNTBLANK(INDIRECT("h263"))</f>
        <v>1</v>
      </c>
      <c r="AG263" s="61">
        <f ca="1">COUNTBLANK(INDIRECT("b263"))</f>
        <v>1</v>
      </c>
    </row>
    <row r="264" spans="1:33" x14ac:dyDescent="0.25">
      <c r="A264" s="2">
        <v>84</v>
      </c>
      <c r="B264" s="63"/>
      <c r="C264" s="56"/>
      <c r="D264" s="56"/>
      <c r="E264" s="56"/>
      <c r="F264" s="56"/>
      <c r="G264" s="56"/>
      <c r="H264" s="56"/>
      <c r="I264" s="117" t="str">
        <f ca="1">IF(AND(INDIRECT("H264")&gt;=INDIRECT("F264"),AA264=0,AB264=0,AC264=0,AF264=0),"Yes",IF(AND(INDIRECT("H264")&lt;INDIRECT("F264"),AA264=0,AB264=0,AC264=0,AF264=0),"No","N/A"))</f>
        <v>N/A</v>
      </c>
      <c r="J264" s="174" t="str">
        <f t="shared" ca="1" si="12"/>
        <v>No Error</v>
      </c>
      <c r="K264" s="174"/>
      <c r="L264" s="174"/>
      <c r="AA264" s="61">
        <f ca="1">COUNTBLANK(INDIRECT("C264"))</f>
        <v>1</v>
      </c>
      <c r="AB264" s="61">
        <f ca="1">COUNTBLANK(INDIRECT("D264"))</f>
        <v>1</v>
      </c>
      <c r="AC264" s="61">
        <f ca="1">COUNTBLANK(INDIRECT("e264"))</f>
        <v>1</v>
      </c>
      <c r="AD264" s="61">
        <f ca="1">COUNTBLANK(INDIRECT("f264"))</f>
        <v>1</v>
      </c>
      <c r="AE264" s="61">
        <f ca="1">COUNTBLANK(INDIRECT("g264"))</f>
        <v>1</v>
      </c>
      <c r="AF264" s="61">
        <f ca="1">COUNTBLANK(INDIRECT("h264"))</f>
        <v>1</v>
      </c>
      <c r="AG264" s="61">
        <f ca="1">COUNTBLANK(INDIRECT("b264"))</f>
        <v>1</v>
      </c>
    </row>
    <row r="265" spans="1:33" x14ac:dyDescent="0.25">
      <c r="A265" s="2">
        <v>85</v>
      </c>
      <c r="B265" s="63"/>
      <c r="C265" s="56"/>
      <c r="D265" s="56"/>
      <c r="E265" s="56"/>
      <c r="F265" s="56"/>
      <c r="G265" s="56"/>
      <c r="H265" s="56"/>
      <c r="I265" s="117" t="str">
        <f ca="1">IF(AND(INDIRECT("H265")&gt;=INDIRECT("F265"),AA265=0,AB265=0,AC265=0,AF265=0),"Yes",IF(AND(INDIRECT("H265")&lt;INDIRECT("F265"),AA265=0,AB265=0,AC265=0,AF265=0),"No","N/A"))</f>
        <v>N/A</v>
      </c>
      <c r="J265" s="174" t="str">
        <f t="shared" ca="1" si="12"/>
        <v>No Error</v>
      </c>
      <c r="K265" s="174"/>
      <c r="L265" s="174"/>
      <c r="AA265" s="61">
        <f ca="1">COUNTBLANK(INDIRECT("C265"))</f>
        <v>1</v>
      </c>
      <c r="AB265" s="61">
        <f ca="1">COUNTBLANK(INDIRECT("D265"))</f>
        <v>1</v>
      </c>
      <c r="AC265" s="61">
        <f ca="1">COUNTBLANK(INDIRECT("e265"))</f>
        <v>1</v>
      </c>
      <c r="AD265" s="61">
        <f ca="1">COUNTBLANK(INDIRECT("f265"))</f>
        <v>1</v>
      </c>
      <c r="AE265" s="61">
        <f ca="1">COUNTBLANK(INDIRECT("g265"))</f>
        <v>1</v>
      </c>
      <c r="AF265" s="61">
        <f ca="1">COUNTBLANK(INDIRECT("h265"))</f>
        <v>1</v>
      </c>
      <c r="AG265" s="61">
        <f ca="1">COUNTBLANK(INDIRECT("b265"))</f>
        <v>1</v>
      </c>
    </row>
    <row r="266" spans="1:33" x14ac:dyDescent="0.25">
      <c r="A266" s="2">
        <v>86</v>
      </c>
      <c r="B266" s="63"/>
      <c r="C266" s="56"/>
      <c r="D266" s="56"/>
      <c r="E266" s="56"/>
      <c r="F266" s="56"/>
      <c r="G266" s="56"/>
      <c r="H266" s="56"/>
      <c r="I266" s="117" t="str">
        <f ca="1">IF(AND(INDIRECT("H266")&gt;=INDIRECT("F266"),AA266=0,AB266=0,AC266=0,AF266=0),"Yes",IF(AND(INDIRECT("H266")&lt;INDIRECT("F266"),AA266=0,AB266=0,AC266=0,AF266=0),"No","N/A"))</f>
        <v>N/A</v>
      </c>
      <c r="J266" s="174" t="str">
        <f t="shared" ca="1" si="12"/>
        <v>No Error</v>
      </c>
      <c r="K266" s="174"/>
      <c r="L266" s="174"/>
      <c r="AA266" s="61">
        <f ca="1">COUNTBLANK(INDIRECT("C266"))</f>
        <v>1</v>
      </c>
      <c r="AB266" s="61">
        <f ca="1">COUNTBLANK(INDIRECT("D266"))</f>
        <v>1</v>
      </c>
      <c r="AC266" s="61">
        <f ca="1">COUNTBLANK(INDIRECT("e266"))</f>
        <v>1</v>
      </c>
      <c r="AD266" s="61">
        <f ca="1">COUNTBLANK(INDIRECT("f266"))</f>
        <v>1</v>
      </c>
      <c r="AE266" s="61">
        <f ca="1">COUNTBLANK(INDIRECT("g266"))</f>
        <v>1</v>
      </c>
      <c r="AF266" s="61">
        <f ca="1">COUNTBLANK(INDIRECT("h266"))</f>
        <v>1</v>
      </c>
      <c r="AG266" s="61">
        <f ca="1">COUNTBLANK(INDIRECT("b266"))</f>
        <v>1</v>
      </c>
    </row>
    <row r="267" spans="1:33" x14ac:dyDescent="0.25">
      <c r="A267" s="2">
        <v>87</v>
      </c>
      <c r="B267" s="63"/>
      <c r="C267" s="56"/>
      <c r="D267" s="56"/>
      <c r="E267" s="56"/>
      <c r="F267" s="56"/>
      <c r="G267" s="56"/>
      <c r="H267" s="56"/>
      <c r="I267" s="117" t="str">
        <f ca="1">IF(AND(INDIRECT("H267")&gt;=INDIRECT("F267"),AA267=0,AB267=0,AC267=0,AF267=0),"Yes",IF(AND(INDIRECT("H267")&lt;INDIRECT("F267"),AA267=0,AB267=0,AC267=0,AF267=0),"No","N/A"))</f>
        <v>N/A</v>
      </c>
      <c r="J267" s="174" t="str">
        <f t="shared" ca="1" si="12"/>
        <v>No Error</v>
      </c>
      <c r="K267" s="174"/>
      <c r="L267" s="174"/>
      <c r="AA267" s="61">
        <f ca="1">COUNTBLANK(INDIRECT("C267"))</f>
        <v>1</v>
      </c>
      <c r="AB267" s="61">
        <f ca="1">COUNTBLANK(INDIRECT("D267"))</f>
        <v>1</v>
      </c>
      <c r="AC267" s="61">
        <f ca="1">COUNTBLANK(INDIRECT("e267"))</f>
        <v>1</v>
      </c>
      <c r="AD267" s="61">
        <f ca="1">COUNTBLANK(INDIRECT("f267"))</f>
        <v>1</v>
      </c>
      <c r="AE267" s="61">
        <f ca="1">COUNTBLANK(INDIRECT("g267"))</f>
        <v>1</v>
      </c>
      <c r="AF267" s="61">
        <f ca="1">COUNTBLANK(INDIRECT("h267"))</f>
        <v>1</v>
      </c>
      <c r="AG267" s="61">
        <f ca="1">COUNTBLANK(INDIRECT("b267"))</f>
        <v>1</v>
      </c>
    </row>
    <row r="268" spans="1:33" x14ac:dyDescent="0.25">
      <c r="A268" s="2">
        <v>88</v>
      </c>
      <c r="B268" s="63"/>
      <c r="C268" s="56"/>
      <c r="D268" s="56"/>
      <c r="E268" s="56"/>
      <c r="F268" s="56"/>
      <c r="G268" s="56"/>
      <c r="H268" s="56"/>
      <c r="I268" s="117" t="str">
        <f ca="1">IF(AND(INDIRECT("H268")&gt;=INDIRECT("F268"),AA268=0,AB268=0,AC268=0,AF268=0),"Yes",IF(AND(INDIRECT("H268")&lt;INDIRECT("F268"),AA268=0,AB268=0,AC268=0,AF268=0),"No","N/A"))</f>
        <v>N/A</v>
      </c>
      <c r="J268" s="174" t="str">
        <f t="shared" ca="1" si="12"/>
        <v>No Error</v>
      </c>
      <c r="K268" s="174"/>
      <c r="L268" s="174"/>
      <c r="AA268" s="61">
        <f ca="1">COUNTBLANK(INDIRECT("C268"))</f>
        <v>1</v>
      </c>
      <c r="AB268" s="61">
        <f ca="1">COUNTBLANK(INDIRECT("D268"))</f>
        <v>1</v>
      </c>
      <c r="AC268" s="61">
        <f ca="1">COUNTBLANK(INDIRECT("e268"))</f>
        <v>1</v>
      </c>
      <c r="AD268" s="61">
        <f ca="1">COUNTBLANK(INDIRECT("f268"))</f>
        <v>1</v>
      </c>
      <c r="AE268" s="61">
        <f ca="1">COUNTBLANK(INDIRECT("g268"))</f>
        <v>1</v>
      </c>
      <c r="AF268" s="61">
        <f ca="1">COUNTBLANK(INDIRECT("h268"))</f>
        <v>1</v>
      </c>
      <c r="AG268" s="61">
        <f ca="1">COUNTBLANK(INDIRECT("b268"))</f>
        <v>1</v>
      </c>
    </row>
    <row r="269" spans="1:33" x14ac:dyDescent="0.25">
      <c r="A269" s="2">
        <v>89</v>
      </c>
      <c r="B269" s="63"/>
      <c r="C269" s="56"/>
      <c r="D269" s="56"/>
      <c r="E269" s="56"/>
      <c r="F269" s="56"/>
      <c r="G269" s="56"/>
      <c r="H269" s="56"/>
      <c r="I269" s="117" t="str">
        <f ca="1">IF(AND(INDIRECT("H269")&gt;=INDIRECT("F269"),AA269=0,AB269=0,AC269=0,AF269=0),"Yes",IF(AND(INDIRECT("H269")&lt;INDIRECT("F269"),AA269=0,AB269=0,AC269=0,AF269=0),"No","N/A"))</f>
        <v>N/A</v>
      </c>
      <c r="J269" s="174" t="str">
        <f t="shared" ca="1" si="12"/>
        <v>No Error</v>
      </c>
      <c r="K269" s="174"/>
      <c r="L269" s="174"/>
      <c r="AA269" s="61">
        <f ca="1">COUNTBLANK(INDIRECT("C269"))</f>
        <v>1</v>
      </c>
      <c r="AB269" s="61">
        <f ca="1">COUNTBLANK(INDIRECT("D269"))</f>
        <v>1</v>
      </c>
      <c r="AC269" s="61">
        <f ca="1">COUNTBLANK(INDIRECT("e269"))</f>
        <v>1</v>
      </c>
      <c r="AD269" s="61">
        <f ca="1">COUNTBLANK(INDIRECT("f269"))</f>
        <v>1</v>
      </c>
      <c r="AE269" s="61">
        <f ca="1">COUNTBLANK(INDIRECT("g269"))</f>
        <v>1</v>
      </c>
      <c r="AF269" s="61">
        <f ca="1">COUNTBLANK(INDIRECT("h269"))</f>
        <v>1</v>
      </c>
      <c r="AG269" s="61">
        <f ca="1">COUNTBLANK(INDIRECT("b269"))</f>
        <v>1</v>
      </c>
    </row>
    <row r="270" spans="1:33" x14ac:dyDescent="0.25">
      <c r="A270" s="2">
        <v>90</v>
      </c>
      <c r="B270" s="63"/>
      <c r="C270" s="56"/>
      <c r="D270" s="56"/>
      <c r="E270" s="56"/>
      <c r="F270" s="56"/>
      <c r="G270" s="56"/>
      <c r="H270" s="56"/>
      <c r="I270" s="117" t="str">
        <f ca="1">IF(AND(INDIRECT("H270")&gt;=INDIRECT("F270"),AA270=0,AB270=0,AC270=0,AF270=0),"Yes",IF(AND(INDIRECT("H270")&lt;INDIRECT("F270"),AA270=0,AB270=0,AC270=0,AF270=0),"No","N/A"))</f>
        <v>N/A</v>
      </c>
      <c r="J270" s="174" t="str">
        <f t="shared" ca="1" si="12"/>
        <v>No Error</v>
      </c>
      <c r="K270" s="174"/>
      <c r="L270" s="174"/>
      <c r="AA270" s="61">
        <f ca="1">COUNTBLANK(INDIRECT("C270"))</f>
        <v>1</v>
      </c>
      <c r="AB270" s="61">
        <f ca="1">COUNTBLANK(INDIRECT("D270"))</f>
        <v>1</v>
      </c>
      <c r="AC270" s="61">
        <f ca="1">COUNTBLANK(INDIRECT("e270"))</f>
        <v>1</v>
      </c>
      <c r="AD270" s="61">
        <f ca="1">COUNTBLANK(INDIRECT("f270"))</f>
        <v>1</v>
      </c>
      <c r="AE270" s="61">
        <f ca="1">COUNTBLANK(INDIRECT("g270"))</f>
        <v>1</v>
      </c>
      <c r="AF270" s="61">
        <f ca="1">COUNTBLANK(INDIRECT("h270"))</f>
        <v>1</v>
      </c>
      <c r="AG270" s="61">
        <f ca="1">COUNTBLANK(INDIRECT("b270"))</f>
        <v>1</v>
      </c>
    </row>
    <row r="271" spans="1:33" x14ac:dyDescent="0.25">
      <c r="A271" s="2">
        <v>91</v>
      </c>
      <c r="B271" s="63"/>
      <c r="C271" s="56"/>
      <c r="D271" s="56"/>
      <c r="E271" s="56"/>
      <c r="F271" s="56"/>
      <c r="G271" s="56"/>
      <c r="H271" s="56"/>
      <c r="I271" s="117" t="str">
        <f ca="1">IF(AND(INDIRECT("H271")&gt;=INDIRECT("F271"),AA271=0,AB271=0,AC271=0,AF271=0),"Yes",IF(AND(INDIRECT("H271")&lt;INDIRECT("F271"),AA271=0,AB271=0,AC271=0,AF271=0),"No","N/A"))</f>
        <v>N/A</v>
      </c>
      <c r="J271" s="174" t="str">
        <f t="shared" ca="1" si="12"/>
        <v>No Error</v>
      </c>
      <c r="K271" s="174"/>
      <c r="L271" s="174"/>
      <c r="AA271" s="61">
        <f ca="1">COUNTBLANK(INDIRECT("C271"))</f>
        <v>1</v>
      </c>
      <c r="AB271" s="61">
        <f ca="1">COUNTBLANK(INDIRECT("D271"))</f>
        <v>1</v>
      </c>
      <c r="AC271" s="61">
        <f ca="1">COUNTBLANK(INDIRECT("e271"))</f>
        <v>1</v>
      </c>
      <c r="AD271" s="61">
        <f ca="1">COUNTBLANK(INDIRECT("f271"))</f>
        <v>1</v>
      </c>
      <c r="AE271" s="61">
        <f ca="1">COUNTBLANK(INDIRECT("g271"))</f>
        <v>1</v>
      </c>
      <c r="AF271" s="61">
        <f ca="1">COUNTBLANK(INDIRECT("h271"))</f>
        <v>1</v>
      </c>
      <c r="AG271" s="61">
        <f ca="1">COUNTBLANK(INDIRECT("b271"))</f>
        <v>1</v>
      </c>
    </row>
    <row r="272" spans="1:33" x14ac:dyDescent="0.25">
      <c r="A272" s="2">
        <v>92</v>
      </c>
      <c r="B272" s="63"/>
      <c r="C272" s="56"/>
      <c r="D272" s="56"/>
      <c r="E272" s="56"/>
      <c r="F272" s="56"/>
      <c r="G272" s="56"/>
      <c r="H272" s="56"/>
      <c r="I272" s="117" t="str">
        <f ca="1">IF(AND(INDIRECT("H272")&gt;=INDIRECT("F272"),AA272=0,AB272=0,AC272=0,AF272=0),"Yes",IF(AND(INDIRECT("H272")&lt;INDIRECT("F272"),AA272=0,AB272=0,AC272=0,AF272=0),"No","N/A"))</f>
        <v>N/A</v>
      </c>
      <c r="J272" s="174" t="str">
        <f t="shared" ca="1" si="12"/>
        <v>No Error</v>
      </c>
      <c r="K272" s="174"/>
      <c r="L272" s="174"/>
      <c r="AA272" s="61">
        <f ca="1">COUNTBLANK(INDIRECT("C272"))</f>
        <v>1</v>
      </c>
      <c r="AB272" s="61">
        <f ca="1">COUNTBLANK(INDIRECT("D272"))</f>
        <v>1</v>
      </c>
      <c r="AC272" s="61">
        <f ca="1">COUNTBLANK(INDIRECT("e272"))</f>
        <v>1</v>
      </c>
      <c r="AD272" s="61">
        <f ca="1">COUNTBLANK(INDIRECT("f272"))</f>
        <v>1</v>
      </c>
      <c r="AE272" s="61">
        <f ca="1">COUNTBLANK(INDIRECT("g272"))</f>
        <v>1</v>
      </c>
      <c r="AF272" s="61">
        <f ca="1">COUNTBLANK(INDIRECT("h272"))</f>
        <v>1</v>
      </c>
      <c r="AG272" s="61">
        <f ca="1">COUNTBLANK(INDIRECT("b272"))</f>
        <v>1</v>
      </c>
    </row>
    <row r="273" spans="1:33" x14ac:dyDescent="0.25">
      <c r="A273" s="2">
        <v>93</v>
      </c>
      <c r="B273" s="63"/>
      <c r="C273" s="56"/>
      <c r="D273" s="56"/>
      <c r="E273" s="56"/>
      <c r="F273" s="56"/>
      <c r="G273" s="56"/>
      <c r="H273" s="56"/>
      <c r="I273" s="117" t="str">
        <f ca="1">IF(AND(INDIRECT("H273")&gt;=INDIRECT("F273"),AA273=0,AB273=0,AC273=0,AF273=0),"Yes",IF(AND(INDIRECT("H273")&lt;INDIRECT("F273"),AA273=0,AB273=0,AC273=0,AF273=0),"No","N/A"))</f>
        <v>N/A</v>
      </c>
      <c r="J273" s="174" t="str">
        <f t="shared" ca="1" si="12"/>
        <v>No Error</v>
      </c>
      <c r="K273" s="174"/>
      <c r="L273" s="174"/>
      <c r="AA273" s="61">
        <f ca="1">COUNTBLANK(INDIRECT("C273"))</f>
        <v>1</v>
      </c>
      <c r="AB273" s="61">
        <f ca="1">COUNTBLANK(INDIRECT("D273"))</f>
        <v>1</v>
      </c>
      <c r="AC273" s="61">
        <f ca="1">COUNTBLANK(INDIRECT("e273"))</f>
        <v>1</v>
      </c>
      <c r="AD273" s="61">
        <f ca="1">COUNTBLANK(INDIRECT("f273"))</f>
        <v>1</v>
      </c>
      <c r="AE273" s="61">
        <f ca="1">COUNTBLANK(INDIRECT("g273"))</f>
        <v>1</v>
      </c>
      <c r="AF273" s="61">
        <f ca="1">COUNTBLANK(INDIRECT("h273"))</f>
        <v>1</v>
      </c>
      <c r="AG273" s="61">
        <f ca="1">COUNTBLANK(INDIRECT("b273"))</f>
        <v>1</v>
      </c>
    </row>
    <row r="274" spans="1:33" x14ac:dyDescent="0.25">
      <c r="A274" s="2">
        <v>94</v>
      </c>
      <c r="B274" s="63"/>
      <c r="C274" s="56"/>
      <c r="D274" s="56"/>
      <c r="E274" s="56"/>
      <c r="F274" s="56"/>
      <c r="G274" s="56"/>
      <c r="H274" s="56"/>
      <c r="I274" s="117" t="str">
        <f ca="1">IF(AND(INDIRECT("H274")&gt;=INDIRECT("F274"),AA274=0,AB274=0,AC274=0,AF274=0),"Yes",IF(AND(INDIRECT("H274")&lt;INDIRECT("F274"),AA274=0,AB274=0,AC274=0,AF274=0),"No","N/A"))</f>
        <v>N/A</v>
      </c>
      <c r="J274" s="174" t="str">
        <f t="shared" ca="1" si="12"/>
        <v>No Error</v>
      </c>
      <c r="K274" s="174"/>
      <c r="L274" s="174"/>
      <c r="AA274" s="61">
        <f ca="1">COUNTBLANK(INDIRECT("C274"))</f>
        <v>1</v>
      </c>
      <c r="AB274" s="61">
        <f ca="1">COUNTBLANK(INDIRECT("D274"))</f>
        <v>1</v>
      </c>
      <c r="AC274" s="61">
        <f ca="1">COUNTBLANK(INDIRECT("e274"))</f>
        <v>1</v>
      </c>
      <c r="AD274" s="61">
        <f ca="1">COUNTBLANK(INDIRECT("f274"))</f>
        <v>1</v>
      </c>
      <c r="AE274" s="61">
        <f ca="1">COUNTBLANK(INDIRECT("g274"))</f>
        <v>1</v>
      </c>
      <c r="AF274" s="61">
        <f ca="1">COUNTBLANK(INDIRECT("h274"))</f>
        <v>1</v>
      </c>
      <c r="AG274" s="61">
        <f ca="1">COUNTBLANK(INDIRECT("b274"))</f>
        <v>1</v>
      </c>
    </row>
    <row r="275" spans="1:33" x14ac:dyDescent="0.25">
      <c r="A275" s="2">
        <v>95</v>
      </c>
      <c r="B275" s="63"/>
      <c r="C275" s="56"/>
      <c r="D275" s="56"/>
      <c r="E275" s="56"/>
      <c r="F275" s="56"/>
      <c r="G275" s="56"/>
      <c r="H275" s="56"/>
      <c r="I275" s="117" t="str">
        <f ca="1">IF(AND(INDIRECT("H275")&gt;=INDIRECT("F275"),AA275=0,AB275=0,AC275=0,AF275=0),"Yes",IF(AND(INDIRECT("H275")&lt;INDIRECT("F275"),AA275=0,AB275=0,AC275=0,AF275=0),"No","N/A"))</f>
        <v>N/A</v>
      </c>
      <c r="J275" s="174" t="str">
        <f t="shared" ca="1" si="12"/>
        <v>No Error</v>
      </c>
      <c r="K275" s="174"/>
      <c r="L275" s="174"/>
      <c r="AA275" s="61">
        <f ca="1">COUNTBLANK(INDIRECT("C275"))</f>
        <v>1</v>
      </c>
      <c r="AB275" s="61">
        <f ca="1">COUNTBLANK(INDIRECT("D275"))</f>
        <v>1</v>
      </c>
      <c r="AC275" s="61">
        <f ca="1">COUNTBLANK(INDIRECT("e275"))</f>
        <v>1</v>
      </c>
      <c r="AD275" s="61">
        <f ca="1">COUNTBLANK(INDIRECT("f275"))</f>
        <v>1</v>
      </c>
      <c r="AE275" s="61">
        <f ca="1">COUNTBLANK(INDIRECT("g275"))</f>
        <v>1</v>
      </c>
      <c r="AF275" s="61">
        <f ca="1">COUNTBLANK(INDIRECT("h275"))</f>
        <v>1</v>
      </c>
      <c r="AG275" s="61">
        <f ca="1">COUNTBLANK(INDIRECT("b275"))</f>
        <v>1</v>
      </c>
    </row>
    <row r="276" spans="1:33" x14ac:dyDescent="0.25">
      <c r="A276" s="2">
        <v>96</v>
      </c>
      <c r="B276" s="63"/>
      <c r="C276" s="56"/>
      <c r="D276" s="56"/>
      <c r="E276" s="56"/>
      <c r="F276" s="56"/>
      <c r="G276" s="56"/>
      <c r="H276" s="56"/>
      <c r="I276" s="117" t="str">
        <f ca="1">IF(AND(INDIRECT("H276")&gt;=INDIRECT("F276"),AA276=0,AB276=0,AC276=0,AF276=0),"Yes",IF(AND(INDIRECT("H276")&lt;INDIRECT("F276"),AA276=0,AB276=0,AC276=0,AF276=0),"No","N/A"))</f>
        <v>N/A</v>
      </c>
      <c r="J276" s="174" t="str">
        <f t="shared" ca="1" si="12"/>
        <v>No Error</v>
      </c>
      <c r="K276" s="174"/>
      <c r="L276" s="174"/>
      <c r="AA276" s="61">
        <f ca="1">COUNTBLANK(INDIRECT("C276"))</f>
        <v>1</v>
      </c>
      <c r="AB276" s="61">
        <f ca="1">COUNTBLANK(INDIRECT("D276"))</f>
        <v>1</v>
      </c>
      <c r="AC276" s="61">
        <f ca="1">COUNTBLANK(INDIRECT("e276"))</f>
        <v>1</v>
      </c>
      <c r="AD276" s="61">
        <f ca="1">COUNTBLANK(INDIRECT("f276"))</f>
        <v>1</v>
      </c>
      <c r="AE276" s="61">
        <f ca="1">COUNTBLANK(INDIRECT("g276"))</f>
        <v>1</v>
      </c>
      <c r="AF276" s="61">
        <f ca="1">COUNTBLANK(INDIRECT("h276"))</f>
        <v>1</v>
      </c>
      <c r="AG276" s="61">
        <f ca="1">COUNTBLANK(INDIRECT("b276"))</f>
        <v>1</v>
      </c>
    </row>
    <row r="277" spans="1:33" x14ac:dyDescent="0.25">
      <c r="A277" s="2">
        <v>97</v>
      </c>
      <c r="B277" s="63"/>
      <c r="C277" s="56"/>
      <c r="D277" s="56"/>
      <c r="E277" s="56"/>
      <c r="F277" s="56"/>
      <c r="G277" s="56"/>
      <c r="H277" s="56"/>
      <c r="I277" s="117" t="str">
        <f ca="1">IF(AND(INDIRECT("H277")&gt;=INDIRECT("F277"),AA277=0,AB277=0,AC277=0,AF277=0),"Yes",IF(AND(INDIRECT("H277")&lt;INDIRECT("F277"),AA277=0,AB277=0,AC277=0,AF277=0),"No","N/A"))</f>
        <v>N/A</v>
      </c>
      <c r="J277" s="174" t="str">
        <f t="shared" ca="1" si="12"/>
        <v>No Error</v>
      </c>
      <c r="K277" s="174"/>
      <c r="L277" s="174"/>
      <c r="AA277" s="61">
        <f ca="1">COUNTBLANK(INDIRECT("C277"))</f>
        <v>1</v>
      </c>
      <c r="AB277" s="61">
        <f ca="1">COUNTBLANK(INDIRECT("D277"))</f>
        <v>1</v>
      </c>
      <c r="AC277" s="61">
        <f ca="1">COUNTBLANK(INDIRECT("e277"))</f>
        <v>1</v>
      </c>
      <c r="AD277" s="61">
        <f ca="1">COUNTBLANK(INDIRECT("f277"))</f>
        <v>1</v>
      </c>
      <c r="AE277" s="61">
        <f ca="1">COUNTBLANK(INDIRECT("g277"))</f>
        <v>1</v>
      </c>
      <c r="AF277" s="61">
        <f ca="1">COUNTBLANK(INDIRECT("h277"))</f>
        <v>1</v>
      </c>
      <c r="AG277" s="61">
        <f ca="1">COUNTBLANK(INDIRECT("b277"))</f>
        <v>1</v>
      </c>
    </row>
    <row r="278" spans="1:33" x14ac:dyDescent="0.25">
      <c r="A278" s="2">
        <v>98</v>
      </c>
      <c r="B278" s="63"/>
      <c r="C278" s="56"/>
      <c r="D278" s="56"/>
      <c r="E278" s="56"/>
      <c r="F278" s="56"/>
      <c r="G278" s="56"/>
      <c r="H278" s="56"/>
      <c r="I278" s="117" t="str">
        <f ca="1">IF(AND(INDIRECT("H278")&gt;=INDIRECT("F278"),AA278=0,AB278=0,AC278=0,AF278=0),"Yes",IF(AND(INDIRECT("H278")&lt;INDIRECT("F278"),AA278=0,AB278=0,AC278=0,AF278=0),"No","N/A"))</f>
        <v>N/A</v>
      </c>
      <c r="J278" s="174" t="str">
        <f t="shared" ca="1" si="12"/>
        <v>No Error</v>
      </c>
      <c r="K278" s="174"/>
      <c r="L278" s="174"/>
      <c r="AA278" s="61">
        <f ca="1">COUNTBLANK(INDIRECT("C278"))</f>
        <v>1</v>
      </c>
      <c r="AB278" s="61">
        <f ca="1">COUNTBLANK(INDIRECT("D278"))</f>
        <v>1</v>
      </c>
      <c r="AC278" s="61">
        <f ca="1">COUNTBLANK(INDIRECT("e278"))</f>
        <v>1</v>
      </c>
      <c r="AD278" s="61">
        <f ca="1">COUNTBLANK(INDIRECT("f278"))</f>
        <v>1</v>
      </c>
      <c r="AE278" s="61">
        <f ca="1">COUNTBLANK(INDIRECT("g278"))</f>
        <v>1</v>
      </c>
      <c r="AF278" s="61">
        <f ca="1">COUNTBLANK(INDIRECT("h278"))</f>
        <v>1</v>
      </c>
      <c r="AG278" s="61">
        <f ca="1">COUNTBLANK(INDIRECT("b278"))</f>
        <v>1</v>
      </c>
    </row>
    <row r="279" spans="1:33" x14ac:dyDescent="0.25">
      <c r="A279" s="2">
        <v>99</v>
      </c>
      <c r="B279" s="63"/>
      <c r="C279" s="56"/>
      <c r="D279" s="56"/>
      <c r="E279" s="56"/>
      <c r="F279" s="56"/>
      <c r="G279" s="56"/>
      <c r="H279" s="56"/>
      <c r="I279" s="117" t="str">
        <f ca="1">IF(AND(INDIRECT("H279")&gt;=INDIRECT("F279"),AA279=0,AB279=0,AC279=0,AF279=0),"Yes",IF(AND(INDIRECT("H279")&lt;INDIRECT("F279"),AA279=0,AB279=0,AC279=0,AF279=0),"No","N/A"))</f>
        <v>N/A</v>
      </c>
      <c r="J279" s="174" t="str">
        <f t="shared" ca="1" si="12"/>
        <v>No Error</v>
      </c>
      <c r="K279" s="174"/>
      <c r="L279" s="174"/>
      <c r="AA279" s="61">
        <f ca="1">COUNTBLANK(INDIRECT("C279"))</f>
        <v>1</v>
      </c>
      <c r="AB279" s="61">
        <f ca="1">COUNTBLANK(INDIRECT("D279"))</f>
        <v>1</v>
      </c>
      <c r="AC279" s="61">
        <f ca="1">COUNTBLANK(INDIRECT("e279"))</f>
        <v>1</v>
      </c>
      <c r="AD279" s="61">
        <f ca="1">COUNTBLANK(INDIRECT("f279"))</f>
        <v>1</v>
      </c>
      <c r="AE279" s="61">
        <f ca="1">COUNTBLANK(INDIRECT("g279"))</f>
        <v>1</v>
      </c>
      <c r="AF279" s="61">
        <f ca="1">COUNTBLANK(INDIRECT("h279"))</f>
        <v>1</v>
      </c>
      <c r="AG279" s="61">
        <f ca="1">COUNTBLANK(INDIRECT("b279"))</f>
        <v>1</v>
      </c>
    </row>
    <row r="280" spans="1:33" x14ac:dyDescent="0.25">
      <c r="A280" s="2">
        <v>100</v>
      </c>
      <c r="B280" s="63"/>
      <c r="C280" s="56"/>
      <c r="D280" s="56"/>
      <c r="E280" s="56"/>
      <c r="F280" s="56"/>
      <c r="G280" s="56"/>
      <c r="H280" s="56"/>
      <c r="I280" s="117" t="str">
        <f ca="1">IF(AND(INDIRECT("H280")&gt;=INDIRECT("F280"),AA280=0,AB280=0,AC280=0,AF280=0),"Yes",IF(AND(INDIRECT("H280")&lt;INDIRECT("F280"),AA280=0,AB280=0,AC280=0,AF280=0),"No","N/A"))</f>
        <v>N/A</v>
      </c>
      <c r="J280" s="174" t="str">
        <f t="shared" ca="1" si="12"/>
        <v>No Error</v>
      </c>
      <c r="K280" s="174"/>
      <c r="L280" s="174"/>
      <c r="AA280" s="61">
        <f ca="1">COUNTBLANK(INDIRECT("C280"))</f>
        <v>1</v>
      </c>
      <c r="AB280" s="61">
        <f ca="1">COUNTBLANK(INDIRECT("D280"))</f>
        <v>1</v>
      </c>
      <c r="AC280" s="61">
        <f ca="1">COUNTBLANK(INDIRECT("e280"))</f>
        <v>1</v>
      </c>
      <c r="AD280" s="61">
        <f ca="1">COUNTBLANK(INDIRECT("f280"))</f>
        <v>1</v>
      </c>
      <c r="AE280" s="61">
        <f ca="1">COUNTBLANK(INDIRECT("g280"))</f>
        <v>1</v>
      </c>
      <c r="AF280" s="61">
        <f ca="1">COUNTBLANK(INDIRECT("h280"))</f>
        <v>1</v>
      </c>
      <c r="AG280" s="61">
        <f ca="1">COUNTBLANK(INDIRECT("b280"))</f>
        <v>1</v>
      </c>
    </row>
    <row r="281" spans="1:33" x14ac:dyDescent="0.25">
      <c r="A281" s="2">
        <v>101</v>
      </c>
      <c r="B281" s="63"/>
      <c r="C281" s="56"/>
      <c r="D281" s="56"/>
      <c r="E281" s="56"/>
      <c r="F281" s="56"/>
      <c r="G281" s="56"/>
      <c r="H281" s="56"/>
      <c r="I281" s="117" t="str">
        <f ca="1">IF(AND(INDIRECT("H281")&gt;=INDIRECT("F281"),AA281=0,AB281=0,AC281=0,AF281=0),"Yes",IF(AND(INDIRECT("h281")&lt;INDIRECT("F281"),AA281=0,AB281=0,AC281=0,AF281=0),"No","N/A"))</f>
        <v>N/A</v>
      </c>
      <c r="J281" s="174" t="str">
        <f t="shared" ca="1" si="12"/>
        <v>No Error</v>
      </c>
      <c r="K281" s="174"/>
      <c r="L281" s="174"/>
      <c r="AA281" s="61">
        <f ca="1">COUNTBLANK(INDIRECT("C281"))</f>
        <v>1</v>
      </c>
      <c r="AB281" s="61">
        <f ca="1">COUNTBLANK(INDIRECT("D281"))</f>
        <v>1</v>
      </c>
      <c r="AC281" s="61">
        <f ca="1">COUNTBLANK(INDIRECT("e281"))</f>
        <v>1</v>
      </c>
      <c r="AD281" s="61">
        <f ca="1">COUNTBLANK(INDIRECT("f281"))</f>
        <v>1</v>
      </c>
      <c r="AE281" s="61">
        <f ca="1">COUNTBLANK(INDIRECT("g281"))</f>
        <v>1</v>
      </c>
      <c r="AF281" s="61">
        <f ca="1">COUNTBLANK(INDIRECT("h281"))</f>
        <v>1</v>
      </c>
      <c r="AG281" s="61">
        <f ca="1">COUNTBLANK(INDIRECT("b281"))</f>
        <v>1</v>
      </c>
    </row>
    <row r="282" spans="1:33" x14ac:dyDescent="0.25">
      <c r="A282" s="2">
        <v>102</v>
      </c>
      <c r="B282" s="63"/>
      <c r="C282" s="56"/>
      <c r="D282" s="56"/>
      <c r="E282" s="56"/>
      <c r="F282" s="56"/>
      <c r="G282" s="56"/>
      <c r="H282" s="56"/>
      <c r="I282" s="117" t="str">
        <f ca="1">IF(AND(INDIRECT("H282")&gt;=INDIRECT("F282"),AA282=0,AB282=0,AC282=0,AF282=0),"Yes",IF(AND(INDIRECT("H282")&lt;INDIRECT("F282"),AA282=0,AB282=0,AC282=0,AF282=0),"No","N/A"))</f>
        <v>N/A</v>
      </c>
      <c r="J282" s="174" t="str">
        <f t="shared" ca="1" si="12"/>
        <v>No Error</v>
      </c>
      <c r="K282" s="174"/>
      <c r="L282" s="174"/>
      <c r="AA282" s="61">
        <f ca="1">COUNTBLANK(INDIRECT("C282"))</f>
        <v>1</v>
      </c>
      <c r="AB282" s="61">
        <f ca="1">COUNTBLANK(INDIRECT("D282"))</f>
        <v>1</v>
      </c>
      <c r="AC282" s="61">
        <f ca="1">COUNTBLANK(INDIRECT("e282"))</f>
        <v>1</v>
      </c>
      <c r="AD282" s="61">
        <f ca="1">COUNTBLANK(INDIRECT("f282"))</f>
        <v>1</v>
      </c>
      <c r="AE282" s="61">
        <f ca="1">COUNTBLANK(INDIRECT("g282"))</f>
        <v>1</v>
      </c>
      <c r="AF282" s="61">
        <f ca="1">COUNTBLANK(INDIRECT("h282"))</f>
        <v>1</v>
      </c>
      <c r="AG282" s="61">
        <f ca="1">COUNTBLANK(INDIRECT("b282"))</f>
        <v>1</v>
      </c>
    </row>
    <row r="283" spans="1:33" x14ac:dyDescent="0.25">
      <c r="A283" s="2">
        <v>103</v>
      </c>
      <c r="B283" s="63"/>
      <c r="C283" s="56"/>
      <c r="D283" s="56"/>
      <c r="E283" s="56"/>
      <c r="F283" s="56"/>
      <c r="G283" s="56"/>
      <c r="H283" s="56"/>
      <c r="I283" s="117" t="str">
        <f ca="1">IF(AND(INDIRECT("H283")&gt;=INDIRECT("F283"),AA283=0,AB283=0,AC283=0,AF283=0),"Yes",IF(AND(INDIRECT("H283")&lt;INDIRECT("F283"),AA283=0,AB283=0,AC283=0,AF283=0),"No","N/A"))</f>
        <v>N/A</v>
      </c>
      <c r="J283" s="174" t="str">
        <f t="shared" ca="1" si="12"/>
        <v>No Error</v>
      </c>
      <c r="K283" s="174"/>
      <c r="L283" s="174"/>
      <c r="AA283" s="61">
        <f ca="1">COUNTBLANK(INDIRECT("C283"))</f>
        <v>1</v>
      </c>
      <c r="AB283" s="61">
        <f ca="1">COUNTBLANK(INDIRECT("D283"))</f>
        <v>1</v>
      </c>
      <c r="AC283" s="61">
        <f ca="1">COUNTBLANK(INDIRECT("e283"))</f>
        <v>1</v>
      </c>
      <c r="AD283" s="61">
        <f ca="1">COUNTBLANK(INDIRECT("f283"))</f>
        <v>1</v>
      </c>
      <c r="AE283" s="61">
        <f ca="1">COUNTBLANK(INDIRECT("g283"))</f>
        <v>1</v>
      </c>
      <c r="AF283" s="61">
        <f ca="1">COUNTBLANK(INDIRECT("h283"))</f>
        <v>1</v>
      </c>
      <c r="AG283" s="61">
        <f ca="1">COUNTBLANK(INDIRECT("b283"))</f>
        <v>1</v>
      </c>
    </row>
    <row r="284" spans="1:33" x14ac:dyDescent="0.25">
      <c r="A284" s="2">
        <v>104</v>
      </c>
      <c r="B284" s="63"/>
      <c r="C284" s="56"/>
      <c r="D284" s="56"/>
      <c r="E284" s="56"/>
      <c r="F284" s="56"/>
      <c r="G284" s="56"/>
      <c r="H284" s="56"/>
      <c r="I284" s="117" t="str">
        <f ca="1">IF(AND(INDIRECT("H284")&gt;=INDIRECT("F284"),AA284=0,AB284=0,AC284=0,AF284=0),"Yes",IF(AND(INDIRECT("H284")&lt;INDIRECT("F284"),AA284=0,AB284=0,AC284=0,AF284=0),"No","N/A"))</f>
        <v>N/A</v>
      </c>
      <c r="J284" s="174" t="str">
        <f t="shared" ca="1" si="12"/>
        <v>No Error</v>
      </c>
      <c r="K284" s="174"/>
      <c r="L284" s="174"/>
      <c r="AA284" s="61">
        <f ca="1">COUNTBLANK(INDIRECT("C284"))</f>
        <v>1</v>
      </c>
      <c r="AB284" s="61">
        <f ca="1">COUNTBLANK(INDIRECT("D284"))</f>
        <v>1</v>
      </c>
      <c r="AC284" s="61">
        <f ca="1">COUNTBLANK(INDIRECT("e284"))</f>
        <v>1</v>
      </c>
      <c r="AD284" s="61">
        <f ca="1">COUNTBLANK(INDIRECT("f284"))</f>
        <v>1</v>
      </c>
      <c r="AE284" s="61">
        <f ca="1">COUNTBLANK(INDIRECT("g284"))</f>
        <v>1</v>
      </c>
      <c r="AF284" s="61">
        <f ca="1">COUNTBLANK(INDIRECT("h284"))</f>
        <v>1</v>
      </c>
      <c r="AG284" s="61">
        <f ca="1">COUNTBLANK(INDIRECT("b284"))</f>
        <v>1</v>
      </c>
    </row>
    <row r="285" spans="1:33" x14ac:dyDescent="0.25">
      <c r="A285" s="2">
        <v>105</v>
      </c>
      <c r="B285" s="63"/>
      <c r="C285" s="56"/>
      <c r="D285" s="56"/>
      <c r="E285" s="56"/>
      <c r="F285" s="56"/>
      <c r="G285" s="56"/>
      <c r="H285" s="56"/>
      <c r="I285" s="117" t="str">
        <f ca="1">IF(AND(INDIRECT("H285")&gt;=INDIRECT("F285"),AA285=0,AB285=0,AC285=0,AF285=0),"Yes",IF(AND(INDIRECT("H285")&lt;INDIRECT("F285"),AA285=0,AB285=0,AC285=0,AF285=0),"No","N/A"))</f>
        <v>N/A</v>
      </c>
      <c r="J285" s="174" t="str">
        <f t="shared" ca="1" si="12"/>
        <v>No Error</v>
      </c>
      <c r="K285" s="174"/>
      <c r="L285" s="174"/>
      <c r="AA285" s="61">
        <f ca="1">COUNTBLANK(INDIRECT("C285"))</f>
        <v>1</v>
      </c>
      <c r="AB285" s="61">
        <f ca="1">COUNTBLANK(INDIRECT("D285"))</f>
        <v>1</v>
      </c>
      <c r="AC285" s="61">
        <f ca="1">COUNTBLANK(INDIRECT("e285"))</f>
        <v>1</v>
      </c>
      <c r="AD285" s="61">
        <f ca="1">COUNTBLANK(INDIRECT("f285"))</f>
        <v>1</v>
      </c>
      <c r="AE285" s="61">
        <f ca="1">COUNTBLANK(INDIRECT("g285"))</f>
        <v>1</v>
      </c>
      <c r="AF285" s="61">
        <f ca="1">COUNTBLANK(INDIRECT("h285"))</f>
        <v>1</v>
      </c>
      <c r="AG285" s="61">
        <f ca="1">COUNTBLANK(INDIRECT("b285"))</f>
        <v>1</v>
      </c>
    </row>
    <row r="286" spans="1:33" x14ac:dyDescent="0.25">
      <c r="A286" s="2">
        <v>106</v>
      </c>
      <c r="B286" s="63"/>
      <c r="C286" s="56"/>
      <c r="D286" s="56"/>
      <c r="E286" s="56"/>
      <c r="F286" s="56"/>
      <c r="G286" s="56"/>
      <c r="H286" s="56"/>
      <c r="I286" s="117" t="str">
        <f ca="1">IF(AND(INDIRECT("H286")&gt;=INDIRECT("F286"),AA286=0,AB286=0,AC286=0,AF286=0),"Yes",IF(AND(INDIRECT("H286")&lt;INDIRECT("F286"),AA286=0,AB286=0,AC286=0,AF286=0),"No","N/A"))</f>
        <v>N/A</v>
      </c>
      <c r="J286" s="174" t="str">
        <f t="shared" ca="1" si="12"/>
        <v>No Error</v>
      </c>
      <c r="K286" s="174"/>
      <c r="L286" s="174"/>
      <c r="AA286" s="61">
        <f ca="1">COUNTBLANK(INDIRECT("C286"))</f>
        <v>1</v>
      </c>
      <c r="AB286" s="61">
        <f ca="1">COUNTBLANK(INDIRECT("D286"))</f>
        <v>1</v>
      </c>
      <c r="AC286" s="61">
        <f ca="1">COUNTBLANK(INDIRECT("e286"))</f>
        <v>1</v>
      </c>
      <c r="AD286" s="61">
        <f ca="1">COUNTBLANK(INDIRECT("f286"))</f>
        <v>1</v>
      </c>
      <c r="AE286" s="61">
        <f ca="1">COUNTBLANK(INDIRECT("g286"))</f>
        <v>1</v>
      </c>
      <c r="AF286" s="61">
        <f ca="1">COUNTBLANK(INDIRECT("h286"))</f>
        <v>1</v>
      </c>
      <c r="AG286" s="61">
        <f ca="1">COUNTBLANK(INDIRECT("b286"))</f>
        <v>1</v>
      </c>
    </row>
    <row r="287" spans="1:33" x14ac:dyDescent="0.25">
      <c r="A287" s="2">
        <v>107</v>
      </c>
      <c r="B287" s="63"/>
      <c r="C287" s="56"/>
      <c r="D287" s="56"/>
      <c r="E287" s="56"/>
      <c r="F287" s="56"/>
      <c r="G287" s="56"/>
      <c r="H287" s="56"/>
      <c r="I287" s="117" t="str">
        <f ca="1">IF(AND(INDIRECT("H287")&gt;=INDIRECT("F287"),AA287=0,AB287=0,AC287=0,AF287=0),"Yes",IF(AND(INDIRECT("H287")&lt;INDIRECT("F287"),AA287=0,AB287=0,AC287=0,AF287=0),"No","N/A"))</f>
        <v>N/A</v>
      </c>
      <c r="J287" s="174" t="str">
        <f t="shared" ca="1" si="12"/>
        <v>No Error</v>
      </c>
      <c r="K287" s="174"/>
      <c r="L287" s="174"/>
      <c r="AA287" s="61">
        <f ca="1">COUNTBLANK(INDIRECT("C287"))</f>
        <v>1</v>
      </c>
      <c r="AB287" s="61">
        <f ca="1">COUNTBLANK(INDIRECT("D287"))</f>
        <v>1</v>
      </c>
      <c r="AC287" s="61">
        <f ca="1">COUNTBLANK(INDIRECT("e287"))</f>
        <v>1</v>
      </c>
      <c r="AD287" s="61">
        <f ca="1">COUNTBLANK(INDIRECT("f287"))</f>
        <v>1</v>
      </c>
      <c r="AE287" s="61">
        <f ca="1">COUNTBLANK(INDIRECT("g287"))</f>
        <v>1</v>
      </c>
      <c r="AF287" s="61">
        <f ca="1">COUNTBLANK(INDIRECT("h287"))</f>
        <v>1</v>
      </c>
      <c r="AG287" s="61">
        <f ca="1">COUNTBLANK(INDIRECT("b287"))</f>
        <v>1</v>
      </c>
    </row>
    <row r="288" spans="1:33" x14ac:dyDescent="0.25">
      <c r="A288" s="2">
        <v>108</v>
      </c>
      <c r="B288" s="63"/>
      <c r="C288" s="56"/>
      <c r="D288" s="56"/>
      <c r="E288" s="56"/>
      <c r="F288" s="56"/>
      <c r="G288" s="56"/>
      <c r="H288" s="56"/>
      <c r="I288" s="117" t="str">
        <f ca="1">IF(AND(INDIRECT("H288")&gt;=INDIRECT("F288"),AA288=0,AB288=0,AC288=0,AF288=0),"Yes",IF(AND(INDIRECT("H288")&lt;INDIRECT("F288"),AA288=0,AB288=0,AC288=0,AF288=0),"No","N/A"))</f>
        <v>N/A</v>
      </c>
      <c r="J288" s="174" t="str">
        <f t="shared" ca="1" si="12"/>
        <v>No Error</v>
      </c>
      <c r="K288" s="174"/>
      <c r="L288" s="174"/>
      <c r="AA288" s="61">
        <f ca="1">COUNTBLANK(INDIRECT("C288"))</f>
        <v>1</v>
      </c>
      <c r="AB288" s="61">
        <f ca="1">COUNTBLANK(INDIRECT("D288"))</f>
        <v>1</v>
      </c>
      <c r="AC288" s="61">
        <f ca="1">COUNTBLANK(INDIRECT("e288"))</f>
        <v>1</v>
      </c>
      <c r="AD288" s="61">
        <f ca="1">COUNTBLANK(INDIRECT("f288"))</f>
        <v>1</v>
      </c>
      <c r="AE288" s="61">
        <f ca="1">COUNTBLANK(INDIRECT("g288"))</f>
        <v>1</v>
      </c>
      <c r="AF288" s="61">
        <f ca="1">COUNTBLANK(INDIRECT("h288"))</f>
        <v>1</v>
      </c>
      <c r="AG288" s="61">
        <f ca="1">COUNTBLANK(INDIRECT("b288"))</f>
        <v>1</v>
      </c>
    </row>
    <row r="289" spans="1:33" x14ac:dyDescent="0.25">
      <c r="A289" s="2">
        <v>109</v>
      </c>
      <c r="B289" s="63"/>
      <c r="C289" s="56"/>
      <c r="D289" s="56"/>
      <c r="E289" s="56"/>
      <c r="F289" s="56"/>
      <c r="G289" s="56"/>
      <c r="H289" s="56"/>
      <c r="I289" s="117" t="str">
        <f ca="1">IF(AND(INDIRECT("H289")&gt;=INDIRECT("F289"),AA289=0,AB289=0,AC289=0,AF289=0),"Yes",IF(AND(INDIRECT("H289")&lt;INDIRECT("F289"),AA289=0,AB289=0,AC289=0,AF289=0),"No","N/A"))</f>
        <v>N/A</v>
      </c>
      <c r="J289" s="174" t="str">
        <f t="shared" ca="1" si="12"/>
        <v>No Error</v>
      </c>
      <c r="K289" s="174"/>
      <c r="L289" s="174"/>
      <c r="AA289" s="61">
        <f ca="1">COUNTBLANK(INDIRECT("C289"))</f>
        <v>1</v>
      </c>
      <c r="AB289" s="61">
        <f ca="1">COUNTBLANK(INDIRECT("D289"))</f>
        <v>1</v>
      </c>
      <c r="AC289" s="61">
        <f ca="1">COUNTBLANK(INDIRECT("e289"))</f>
        <v>1</v>
      </c>
      <c r="AD289" s="61">
        <f ca="1">COUNTBLANK(INDIRECT("f289"))</f>
        <v>1</v>
      </c>
      <c r="AE289" s="61">
        <f ca="1">COUNTBLANK(INDIRECT("g289"))</f>
        <v>1</v>
      </c>
      <c r="AF289" s="61">
        <f ca="1">COUNTBLANK(INDIRECT("h289"))</f>
        <v>1</v>
      </c>
      <c r="AG289" s="61">
        <f ca="1">COUNTBLANK(INDIRECT("b289"))</f>
        <v>1</v>
      </c>
    </row>
    <row r="290" spans="1:33" x14ac:dyDescent="0.25">
      <c r="A290" s="2">
        <v>110</v>
      </c>
      <c r="B290" s="63"/>
      <c r="C290" s="56"/>
      <c r="D290" s="56"/>
      <c r="E290" s="56"/>
      <c r="F290" s="56"/>
      <c r="G290" s="56"/>
      <c r="H290" s="56"/>
      <c r="I290" s="117" t="str">
        <f ca="1">IF(AND(INDIRECT("H290")&gt;=INDIRECT("F290"),AA290=0,AB290=0,AC290=0,AF290=0),"Yes",IF(AND(INDIRECT("H290")&lt;INDIRECT("F290"),AA290=0,AB290=0,AC290=0,AF290=0),"No","N/A"))</f>
        <v>N/A</v>
      </c>
      <c r="J290" s="174" t="str">
        <f t="shared" ca="1" si="12"/>
        <v>No Error</v>
      </c>
      <c r="K290" s="174"/>
      <c r="L290" s="174"/>
      <c r="AA290" s="61">
        <f ca="1">COUNTBLANK(INDIRECT("C290"))</f>
        <v>1</v>
      </c>
      <c r="AB290" s="61">
        <f ca="1">COUNTBLANK(INDIRECT("D290"))</f>
        <v>1</v>
      </c>
      <c r="AC290" s="61">
        <f ca="1">COUNTBLANK(INDIRECT("e290"))</f>
        <v>1</v>
      </c>
      <c r="AD290" s="61">
        <f ca="1">COUNTBLANK(INDIRECT("f290"))</f>
        <v>1</v>
      </c>
      <c r="AE290" s="61">
        <f ca="1">COUNTBLANK(INDIRECT("g290"))</f>
        <v>1</v>
      </c>
      <c r="AF290" s="61">
        <f ca="1">COUNTBLANK(INDIRECT("h290"))</f>
        <v>1</v>
      </c>
      <c r="AG290" s="61">
        <f ca="1">COUNTBLANK(INDIRECT("b290"))</f>
        <v>1</v>
      </c>
    </row>
    <row r="291" spans="1:33" x14ac:dyDescent="0.25">
      <c r="A291" s="2">
        <v>111</v>
      </c>
      <c r="B291" s="63"/>
      <c r="C291" s="56"/>
      <c r="D291" s="56"/>
      <c r="E291" s="56"/>
      <c r="F291" s="56"/>
      <c r="G291" s="56"/>
      <c r="H291" s="56"/>
      <c r="I291" s="117" t="str">
        <f ca="1">IF(AND(INDIRECT("H291")&gt;=INDIRECT("F291"),AA291=0,AB291=0,AC291=0,AF291=0),"Yes",IF(AND(INDIRECT("H291")&lt;INDIRECT("F291"),AA291=0,AB291=0,AC291=0,AF291=0),"No","N/A"))</f>
        <v>N/A</v>
      </c>
      <c r="J291" s="174" t="str">
        <f t="shared" ca="1" si="12"/>
        <v>No Error</v>
      </c>
      <c r="K291" s="174"/>
      <c r="L291" s="174"/>
      <c r="AA291" s="61">
        <f ca="1">COUNTBLANK(INDIRECT("C291"))</f>
        <v>1</v>
      </c>
      <c r="AB291" s="61">
        <f ca="1">COUNTBLANK(INDIRECT("D291"))</f>
        <v>1</v>
      </c>
      <c r="AC291" s="61">
        <f ca="1">COUNTBLANK(INDIRECT("e291"))</f>
        <v>1</v>
      </c>
      <c r="AD291" s="61">
        <f ca="1">COUNTBLANK(INDIRECT("f291"))</f>
        <v>1</v>
      </c>
      <c r="AE291" s="61">
        <f ca="1">COUNTBLANK(INDIRECT("g291"))</f>
        <v>1</v>
      </c>
      <c r="AF291" s="61">
        <f ca="1">COUNTBLANK(INDIRECT("h291"))</f>
        <v>1</v>
      </c>
      <c r="AG291" s="61">
        <f ca="1">COUNTBLANK(INDIRECT("b291"))</f>
        <v>1</v>
      </c>
    </row>
    <row r="292" spans="1:33" x14ac:dyDescent="0.25">
      <c r="A292" s="2">
        <v>112</v>
      </c>
      <c r="B292" s="63"/>
      <c r="C292" s="56"/>
      <c r="D292" s="56"/>
      <c r="E292" s="56"/>
      <c r="F292" s="56"/>
      <c r="G292" s="56"/>
      <c r="H292" s="56"/>
      <c r="I292" s="117" t="str">
        <f ca="1">IF(AND(INDIRECT("H292")&gt;=INDIRECT("F292"),AA292=0,AB292=0,AC292=0,AF292=0),"Yes",IF(AND(INDIRECT("H292")&lt;INDIRECT("F292"),AA292=0,AB292=0,AC292=0,AF292=0),"No","N/A"))</f>
        <v>N/A</v>
      </c>
      <c r="J292" s="174" t="str">
        <f t="shared" ca="1" si="12"/>
        <v>No Error</v>
      </c>
      <c r="K292" s="174"/>
      <c r="L292" s="174"/>
      <c r="AA292" s="61">
        <f ca="1">COUNTBLANK(INDIRECT("C292"))</f>
        <v>1</v>
      </c>
      <c r="AB292" s="61">
        <f ca="1">COUNTBLANK(INDIRECT("D292"))</f>
        <v>1</v>
      </c>
      <c r="AC292" s="61">
        <f ca="1">COUNTBLANK(INDIRECT("e292"))</f>
        <v>1</v>
      </c>
      <c r="AD292" s="61">
        <f ca="1">COUNTBLANK(INDIRECT("f292"))</f>
        <v>1</v>
      </c>
      <c r="AE292" s="61">
        <f ca="1">COUNTBLANK(INDIRECT("g292"))</f>
        <v>1</v>
      </c>
      <c r="AF292" s="61">
        <f ca="1">COUNTBLANK(INDIRECT("h292"))</f>
        <v>1</v>
      </c>
      <c r="AG292" s="61">
        <f ca="1">COUNTBLANK(INDIRECT("b292"))</f>
        <v>1</v>
      </c>
    </row>
    <row r="293" spans="1:33" x14ac:dyDescent="0.25">
      <c r="A293" s="2">
        <v>113</v>
      </c>
      <c r="B293" s="63"/>
      <c r="C293" s="56"/>
      <c r="D293" s="56"/>
      <c r="E293" s="56"/>
      <c r="F293" s="56"/>
      <c r="G293" s="56"/>
      <c r="H293" s="56"/>
      <c r="I293" s="117" t="str">
        <f ca="1">IF(AND(INDIRECT("H293")&gt;=INDIRECT("F293"),AA293=0,AB293=0,AC293=0,AF293=0),"Yes",IF(AND(INDIRECT("H293")&lt;INDIRECT("F293"),AA293=0,AB293=0,AC293=0,AF293=0),"No","N/A"))</f>
        <v>N/A</v>
      </c>
      <c r="J293" s="174" t="str">
        <f t="shared" ca="1" si="12"/>
        <v>No Error</v>
      </c>
      <c r="K293" s="174"/>
      <c r="L293" s="174"/>
      <c r="AA293" s="61">
        <f ca="1">COUNTBLANK(INDIRECT("C293"))</f>
        <v>1</v>
      </c>
      <c r="AB293" s="61">
        <f ca="1">COUNTBLANK(INDIRECT("D293"))</f>
        <v>1</v>
      </c>
      <c r="AC293" s="61">
        <f ca="1">COUNTBLANK(INDIRECT("e293"))</f>
        <v>1</v>
      </c>
      <c r="AD293" s="61">
        <f ca="1">COUNTBLANK(INDIRECT("f293"))</f>
        <v>1</v>
      </c>
      <c r="AE293" s="61">
        <f ca="1">COUNTBLANK(INDIRECT("g293"))</f>
        <v>1</v>
      </c>
      <c r="AF293" s="61">
        <f ca="1">COUNTBLANK(INDIRECT("h293"))</f>
        <v>1</v>
      </c>
      <c r="AG293" s="61">
        <f ca="1">COUNTBLANK(INDIRECT("b293"))</f>
        <v>1</v>
      </c>
    </row>
    <row r="294" spans="1:33" x14ac:dyDescent="0.25">
      <c r="A294" s="2">
        <v>114</v>
      </c>
      <c r="B294" s="63"/>
      <c r="C294" s="56"/>
      <c r="D294" s="56"/>
      <c r="E294" s="56"/>
      <c r="F294" s="56"/>
      <c r="G294" s="56"/>
      <c r="H294" s="56"/>
      <c r="I294" s="117" t="str">
        <f ca="1">IF(AND(INDIRECT("H294")&gt;=INDIRECT("F294"),AA294=0,AB294=0,AC294=0,AF294=0),"Yes",IF(AND(INDIRECT("H294")&lt;INDIRECT("F294"),AA294=0,AB294=0,AC294=0,AF294=0),"No","N/A"))</f>
        <v>N/A</v>
      </c>
      <c r="J294" s="174" t="str">
        <f t="shared" ca="1" si="12"/>
        <v>No Error</v>
      </c>
      <c r="K294" s="174"/>
      <c r="L294" s="174"/>
      <c r="AA294" s="61">
        <f ca="1">COUNTBLANK(INDIRECT("C294"))</f>
        <v>1</v>
      </c>
      <c r="AB294" s="61">
        <f ca="1">COUNTBLANK(INDIRECT("D294"))</f>
        <v>1</v>
      </c>
      <c r="AC294" s="61">
        <f ca="1">COUNTBLANK(INDIRECT("e294"))</f>
        <v>1</v>
      </c>
      <c r="AD294" s="61">
        <f ca="1">COUNTBLANK(INDIRECT("f294"))</f>
        <v>1</v>
      </c>
      <c r="AE294" s="61">
        <f ca="1">COUNTBLANK(INDIRECT("g294"))</f>
        <v>1</v>
      </c>
      <c r="AF294" s="61">
        <f ca="1">COUNTBLANK(INDIRECT("h294"))</f>
        <v>1</v>
      </c>
      <c r="AG294" s="61">
        <f ca="1">COUNTBLANK(INDIRECT("b294"))</f>
        <v>1</v>
      </c>
    </row>
    <row r="295" spans="1:33" x14ac:dyDescent="0.25">
      <c r="A295" s="2">
        <v>115</v>
      </c>
      <c r="B295" s="63"/>
      <c r="C295" s="56"/>
      <c r="D295" s="56"/>
      <c r="E295" s="56"/>
      <c r="F295" s="56"/>
      <c r="G295" s="56"/>
      <c r="H295" s="56"/>
      <c r="I295" s="117" t="str">
        <f ca="1">IF(AND(INDIRECT("H295")&gt;=INDIRECT("F295"),AA295=0,AB295=0,AC295=0,AF295=0),"Yes",IF(AND(INDIRECT("H295")&lt;INDIRECT("F295"),AA295=0,AB295=0,AC295=0,AF295=0),"No","N/A"))</f>
        <v>N/A</v>
      </c>
      <c r="J295" s="174" t="str">
        <f t="shared" ca="1" si="12"/>
        <v>No Error</v>
      </c>
      <c r="K295" s="174"/>
      <c r="L295" s="174"/>
      <c r="AA295" s="61">
        <f ca="1">COUNTBLANK(INDIRECT("C295"))</f>
        <v>1</v>
      </c>
      <c r="AB295" s="61">
        <f ca="1">COUNTBLANK(INDIRECT("D295"))</f>
        <v>1</v>
      </c>
      <c r="AC295" s="61">
        <f ca="1">COUNTBLANK(INDIRECT("e295"))</f>
        <v>1</v>
      </c>
      <c r="AD295" s="61">
        <f ca="1">COUNTBLANK(INDIRECT("f295"))</f>
        <v>1</v>
      </c>
      <c r="AE295" s="61">
        <f ca="1">COUNTBLANK(INDIRECT("g295"))</f>
        <v>1</v>
      </c>
      <c r="AF295" s="61">
        <f ca="1">COUNTBLANK(INDIRECT("h295"))</f>
        <v>1</v>
      </c>
      <c r="AG295" s="61">
        <f ca="1">COUNTBLANK(INDIRECT("b295"))</f>
        <v>1</v>
      </c>
    </row>
    <row r="296" spans="1:33" x14ac:dyDescent="0.25">
      <c r="A296" s="2">
        <v>116</v>
      </c>
      <c r="B296" s="63"/>
      <c r="C296" s="56"/>
      <c r="D296" s="56"/>
      <c r="E296" s="56"/>
      <c r="F296" s="56"/>
      <c r="G296" s="56"/>
      <c r="H296" s="56"/>
      <c r="I296" s="117" t="str">
        <f ca="1">IF(AND(INDIRECT("H296")&gt;=INDIRECT("F296"),AA296=0,AB296=0,AC296=0,AF296=0),"Yes",IF(AND(INDIRECT("H296")&lt;INDIRECT("F296"),AA296=0,AB296=0,AC296=0,AF296=0),"No","N/A"))</f>
        <v>N/A</v>
      </c>
      <c r="J296" s="174" t="str">
        <f t="shared" ca="1" si="12"/>
        <v>No Error</v>
      </c>
      <c r="K296" s="174"/>
      <c r="L296" s="174"/>
      <c r="AA296" s="61">
        <f ca="1">COUNTBLANK(INDIRECT("C296"))</f>
        <v>1</v>
      </c>
      <c r="AB296" s="61">
        <f ca="1">COUNTBLANK(INDIRECT("D296"))</f>
        <v>1</v>
      </c>
      <c r="AC296" s="61">
        <f ca="1">COUNTBLANK(INDIRECT("e296"))</f>
        <v>1</v>
      </c>
      <c r="AD296" s="61">
        <f ca="1">COUNTBLANK(INDIRECT("f296"))</f>
        <v>1</v>
      </c>
      <c r="AE296" s="61">
        <f ca="1">COUNTBLANK(INDIRECT("g296"))</f>
        <v>1</v>
      </c>
      <c r="AF296" s="61">
        <f ca="1">COUNTBLANK(INDIRECT("h296"))</f>
        <v>1</v>
      </c>
      <c r="AG296" s="61">
        <f ca="1">COUNTBLANK(INDIRECT("b296"))</f>
        <v>1</v>
      </c>
    </row>
    <row r="297" spans="1:33" x14ac:dyDescent="0.25">
      <c r="A297" s="2">
        <v>117</v>
      </c>
      <c r="B297" s="63"/>
      <c r="C297" s="56"/>
      <c r="D297" s="56"/>
      <c r="E297" s="56"/>
      <c r="F297" s="56"/>
      <c r="G297" s="56"/>
      <c r="H297" s="56"/>
      <c r="I297" s="117" t="str">
        <f ca="1">IF(AND(INDIRECT("H297")&gt;=INDIRECT("F297"),AA297=0,AB297=0,AC297=0,AF297=0),"Yes",IF(AND(INDIRECT("H297")&lt;INDIRECT("F297"),AA297=0,AB297=0,AC297=0,AF297=0),"No","N/A"))</f>
        <v>N/A</v>
      </c>
      <c r="J297" s="174" t="str">
        <f t="shared" ca="1" si="12"/>
        <v>No Error</v>
      </c>
      <c r="K297" s="174"/>
      <c r="L297" s="174"/>
      <c r="AA297" s="61">
        <f ca="1">COUNTBLANK(INDIRECT("C297"))</f>
        <v>1</v>
      </c>
      <c r="AB297" s="61">
        <f ca="1">COUNTBLANK(INDIRECT("D297"))</f>
        <v>1</v>
      </c>
      <c r="AC297" s="61">
        <f ca="1">COUNTBLANK(INDIRECT("e297"))</f>
        <v>1</v>
      </c>
      <c r="AD297" s="61">
        <f ca="1">COUNTBLANK(INDIRECT("f297"))</f>
        <v>1</v>
      </c>
      <c r="AE297" s="61">
        <f ca="1">COUNTBLANK(INDIRECT("g297"))</f>
        <v>1</v>
      </c>
      <c r="AF297" s="61">
        <f ca="1">COUNTBLANK(INDIRECT("h297"))</f>
        <v>1</v>
      </c>
      <c r="AG297" s="61">
        <f ca="1">COUNTBLANK(INDIRECT("b297"))</f>
        <v>1</v>
      </c>
    </row>
    <row r="298" spans="1:33" x14ac:dyDescent="0.25">
      <c r="A298" s="2">
        <v>118</v>
      </c>
      <c r="B298" s="63"/>
      <c r="C298" s="56"/>
      <c r="D298" s="56"/>
      <c r="E298" s="56"/>
      <c r="F298" s="56"/>
      <c r="G298" s="56"/>
      <c r="H298" s="56"/>
      <c r="I298" s="117" t="str">
        <f ca="1">IF(AND(INDIRECT("H298")&gt;=INDIRECT("F298"),AA298=0,AB298=0,AC298=0,AF298=0),"Yes",IF(AND(INDIRECT("H298")&lt;INDIRECT("F298"),AA298=0,AB298=0,AC298=0,AF298=0),"No","N/A"))</f>
        <v>N/A</v>
      </c>
      <c r="J298" s="174" t="str">
        <f t="shared" ca="1" si="12"/>
        <v>No Error</v>
      </c>
      <c r="K298" s="174"/>
      <c r="L298" s="174"/>
      <c r="AA298" s="61">
        <f ca="1">COUNTBLANK(INDIRECT("C298"))</f>
        <v>1</v>
      </c>
      <c r="AB298" s="61">
        <f ca="1">COUNTBLANK(INDIRECT("D298"))</f>
        <v>1</v>
      </c>
      <c r="AC298" s="61">
        <f ca="1">COUNTBLANK(INDIRECT("e298"))</f>
        <v>1</v>
      </c>
      <c r="AD298" s="61">
        <f ca="1">COUNTBLANK(INDIRECT("f298"))</f>
        <v>1</v>
      </c>
      <c r="AE298" s="61">
        <f ca="1">COUNTBLANK(INDIRECT("g298"))</f>
        <v>1</v>
      </c>
      <c r="AF298" s="61">
        <f ca="1">COUNTBLANK(INDIRECT("h298"))</f>
        <v>1</v>
      </c>
      <c r="AG298" s="61">
        <f ca="1">COUNTBLANK(INDIRECT("b298"))</f>
        <v>1</v>
      </c>
    </row>
    <row r="299" spans="1:33" x14ac:dyDescent="0.25">
      <c r="A299" s="2">
        <v>119</v>
      </c>
      <c r="B299" s="63"/>
      <c r="C299" s="56"/>
      <c r="D299" s="56"/>
      <c r="E299" s="56"/>
      <c r="F299" s="56"/>
      <c r="G299" s="56"/>
      <c r="H299" s="56"/>
      <c r="I299" s="117" t="str">
        <f ca="1">IF(AND(INDIRECT("H299")&gt;=INDIRECT("F299"),AA299=0,AB299=0,AC299=0,AF299=0),"Yes",IF(AND(INDIRECT("H299")&lt;INDIRECT("F299"),AA299=0,AB299=0,AC299=0,AF299=0),"No","N/A"))</f>
        <v>N/A</v>
      </c>
      <c r="J299" s="174" t="str">
        <f t="shared" ca="1" si="12"/>
        <v>No Error</v>
      </c>
      <c r="K299" s="174"/>
      <c r="L299" s="174"/>
      <c r="AA299" s="61">
        <f ca="1">COUNTBLANK(INDIRECT("C299"))</f>
        <v>1</v>
      </c>
      <c r="AB299" s="61">
        <f ca="1">COUNTBLANK(INDIRECT("D299"))</f>
        <v>1</v>
      </c>
      <c r="AC299" s="61">
        <f ca="1">COUNTBLANK(INDIRECT("e299"))</f>
        <v>1</v>
      </c>
      <c r="AD299" s="61">
        <f ca="1">COUNTBLANK(INDIRECT("f299"))</f>
        <v>1</v>
      </c>
      <c r="AE299" s="61">
        <f ca="1">COUNTBLANK(INDIRECT("g299"))</f>
        <v>1</v>
      </c>
      <c r="AF299" s="61">
        <f ca="1">COUNTBLANK(INDIRECT("h299"))</f>
        <v>1</v>
      </c>
      <c r="AG299" s="61">
        <f ca="1">COUNTBLANK(INDIRECT("b299"))</f>
        <v>1</v>
      </c>
    </row>
    <row r="300" spans="1:33" x14ac:dyDescent="0.25">
      <c r="A300" s="2">
        <v>120</v>
      </c>
      <c r="B300" s="63"/>
      <c r="C300" s="56"/>
      <c r="D300" s="56"/>
      <c r="E300" s="56"/>
      <c r="F300" s="56"/>
      <c r="G300" s="56"/>
      <c r="H300" s="56"/>
      <c r="I300" s="117" t="str">
        <f ca="1">IF(AND(INDIRECT("H300")&gt;=INDIRECT("F300"),AA300=0,AB300=0,AC300=0,AF300=0),"Yes",IF(AND(INDIRECT("H300")&lt;INDIRECT("F300"),AA300=0,AB300=0,AC300=0,AF300=0),"No","N/A"))</f>
        <v>N/A</v>
      </c>
      <c r="J300" s="174" t="str">
        <f t="shared" ca="1" si="12"/>
        <v>No Error</v>
      </c>
      <c r="K300" s="174"/>
      <c r="L300" s="174"/>
      <c r="AA300" s="61">
        <f ca="1">COUNTBLANK(INDIRECT("C300"))</f>
        <v>1</v>
      </c>
      <c r="AB300" s="61">
        <f ca="1">COUNTBLANK(INDIRECT("D300"))</f>
        <v>1</v>
      </c>
      <c r="AC300" s="61">
        <f ca="1">COUNTBLANK(INDIRECT("e300"))</f>
        <v>1</v>
      </c>
      <c r="AD300" s="61">
        <f ca="1">COUNTBLANK(INDIRECT("f300"))</f>
        <v>1</v>
      </c>
      <c r="AE300" s="61">
        <f ca="1">COUNTBLANK(INDIRECT("g300"))</f>
        <v>1</v>
      </c>
      <c r="AF300" s="61">
        <f ca="1">COUNTBLANK(INDIRECT("h300"))</f>
        <v>1</v>
      </c>
      <c r="AG300" s="61">
        <f ca="1">COUNTBLANK(INDIRECT("b300"))</f>
        <v>1</v>
      </c>
    </row>
    <row r="301" spans="1:33" x14ac:dyDescent="0.25">
      <c r="A301" s="2">
        <v>121</v>
      </c>
      <c r="B301" s="63"/>
      <c r="C301" s="56"/>
      <c r="D301" s="56"/>
      <c r="E301" s="56"/>
      <c r="F301" s="56"/>
      <c r="G301" s="56"/>
      <c r="H301" s="56"/>
      <c r="I301" s="117" t="str">
        <f ca="1">IF(AND(INDIRECT("H301")&gt;=INDIRECT("F301"),AA301=0,AB301=0,AC301=0,AF301=0),"Yes",IF(AND(INDIRECT("H301")&lt;INDIRECT("F301"),AA301=0,AB301=0,AC301=0,AF301=0),"No","N/A"))</f>
        <v>N/A</v>
      </c>
      <c r="J301" s="174" t="str">
        <f t="shared" ca="1" si="12"/>
        <v>No Error</v>
      </c>
      <c r="K301" s="174"/>
      <c r="L301" s="174"/>
      <c r="AA301" s="61">
        <f ca="1">COUNTBLANK(INDIRECT("C301"))</f>
        <v>1</v>
      </c>
      <c r="AB301" s="61">
        <f ca="1">COUNTBLANK(INDIRECT("D301"))</f>
        <v>1</v>
      </c>
      <c r="AC301" s="61">
        <f ca="1">COUNTBLANK(INDIRECT("e301"))</f>
        <v>1</v>
      </c>
      <c r="AD301" s="61">
        <f ca="1">COUNTBLANK(INDIRECT("f301"))</f>
        <v>1</v>
      </c>
      <c r="AE301" s="61">
        <f ca="1">COUNTBLANK(INDIRECT("g301"))</f>
        <v>1</v>
      </c>
      <c r="AF301" s="61">
        <f ca="1">COUNTBLANK(INDIRECT("h301"))</f>
        <v>1</v>
      </c>
      <c r="AG301" s="61">
        <f ca="1">COUNTBLANK(INDIRECT("b301"))</f>
        <v>1</v>
      </c>
    </row>
    <row r="302" spans="1:33" x14ac:dyDescent="0.25">
      <c r="A302" s="2">
        <v>122</v>
      </c>
      <c r="B302" s="63"/>
      <c r="C302" s="56"/>
      <c r="D302" s="56"/>
      <c r="E302" s="56"/>
      <c r="F302" s="56"/>
      <c r="G302" s="56"/>
      <c r="H302" s="56"/>
      <c r="I302" s="117" t="str">
        <f ca="1">IF(AND(INDIRECT("H302")&gt;=INDIRECT("F302"),AA302=0,AB302=0,AC302=0,AF302=0),"Yes",IF(AND(INDIRECT("H302")&lt;INDIRECT("F302"),AA302=0,AB302=0,AC302=0,AF302=0),"No","N/A"))</f>
        <v>N/A</v>
      </c>
      <c r="J302" s="174" t="str">
        <f t="shared" ca="1" si="12"/>
        <v>No Error</v>
      </c>
      <c r="K302" s="174"/>
      <c r="L302" s="174"/>
      <c r="AA302" s="61">
        <f ca="1">COUNTBLANK(INDIRECT("C302"))</f>
        <v>1</v>
      </c>
      <c r="AB302" s="61">
        <f ca="1">COUNTBLANK(INDIRECT("D302"))</f>
        <v>1</v>
      </c>
      <c r="AC302" s="61">
        <f ca="1">COUNTBLANK(INDIRECT("e302"))</f>
        <v>1</v>
      </c>
      <c r="AD302" s="61">
        <f ca="1">COUNTBLANK(INDIRECT("f302"))</f>
        <v>1</v>
      </c>
      <c r="AE302" s="61">
        <f ca="1">COUNTBLANK(INDIRECT("g302"))</f>
        <v>1</v>
      </c>
      <c r="AF302" s="61">
        <f ca="1">COUNTBLANK(INDIRECT("h302"))</f>
        <v>1</v>
      </c>
      <c r="AG302" s="61">
        <f ca="1">COUNTBLANK(INDIRECT("b302"))</f>
        <v>1</v>
      </c>
    </row>
    <row r="303" spans="1:33" x14ac:dyDescent="0.25">
      <c r="A303" s="2">
        <v>123</v>
      </c>
      <c r="B303" s="63"/>
      <c r="C303" s="56"/>
      <c r="D303" s="56"/>
      <c r="E303" s="56"/>
      <c r="F303" s="56"/>
      <c r="G303" s="56"/>
      <c r="H303" s="56"/>
      <c r="I303" s="117" t="str">
        <f ca="1">IF(AND(INDIRECT("H303")&gt;=INDIRECT("F303"),AA303=0,AB303=0,AC303=0,AF303=0),"Yes",IF(AND(INDIRECT("H303")&lt;INDIRECT("F303"),AA303=0,AB303=0,AC303=0,AF303=0),"No","N/A"))</f>
        <v>N/A</v>
      </c>
      <c r="J303" s="174" t="str">
        <f t="shared" ca="1" si="12"/>
        <v>No Error</v>
      </c>
      <c r="K303" s="174"/>
      <c r="L303" s="174"/>
      <c r="AA303" s="61">
        <f ca="1">COUNTBLANK(INDIRECT("C303"))</f>
        <v>1</v>
      </c>
      <c r="AB303" s="61">
        <f ca="1">COUNTBLANK(INDIRECT("D303"))</f>
        <v>1</v>
      </c>
      <c r="AC303" s="61">
        <f ca="1">COUNTBLANK(INDIRECT("e303"))</f>
        <v>1</v>
      </c>
      <c r="AD303" s="61">
        <f ca="1">COUNTBLANK(INDIRECT("f303"))</f>
        <v>1</v>
      </c>
      <c r="AE303" s="61">
        <f ca="1">COUNTBLANK(INDIRECT("g303"))</f>
        <v>1</v>
      </c>
      <c r="AF303" s="61">
        <f ca="1">COUNTBLANK(INDIRECT("h303"))</f>
        <v>1</v>
      </c>
      <c r="AG303" s="61">
        <f ca="1">COUNTBLANK(INDIRECT("b303"))</f>
        <v>1</v>
      </c>
    </row>
    <row r="304" spans="1:33" x14ac:dyDescent="0.25">
      <c r="A304" s="2">
        <v>124</v>
      </c>
      <c r="B304" s="63"/>
      <c r="C304" s="56"/>
      <c r="D304" s="56"/>
      <c r="E304" s="56"/>
      <c r="F304" s="56"/>
      <c r="G304" s="56"/>
      <c r="H304" s="56"/>
      <c r="I304" s="117" t="str">
        <f ca="1">IF(AND(INDIRECT("H304")&gt;=INDIRECT("F304"),AA304=0,AB304=0,AC304=0,AF304=0),"Yes",IF(AND(INDIRECT("H304")&lt;INDIRECT("F304"),AA304=0,AB304=0,AC304=0,AF304=0),"No","N/A"))</f>
        <v>N/A</v>
      </c>
      <c r="J304" s="174" t="str">
        <f t="shared" ca="1" si="12"/>
        <v>No Error</v>
      </c>
      <c r="K304" s="174"/>
      <c r="L304" s="174"/>
      <c r="AA304" s="61">
        <f ca="1">COUNTBLANK(INDIRECT("C304"))</f>
        <v>1</v>
      </c>
      <c r="AB304" s="61">
        <f ca="1">COUNTBLANK(INDIRECT("D304"))</f>
        <v>1</v>
      </c>
      <c r="AC304" s="61">
        <f ca="1">COUNTBLANK(INDIRECT("e304"))</f>
        <v>1</v>
      </c>
      <c r="AD304" s="61">
        <f ca="1">COUNTBLANK(INDIRECT("f304"))</f>
        <v>1</v>
      </c>
      <c r="AE304" s="61">
        <f ca="1">COUNTBLANK(INDIRECT("g304"))</f>
        <v>1</v>
      </c>
      <c r="AF304" s="61">
        <f ca="1">COUNTBLANK(INDIRECT("h304"))</f>
        <v>1</v>
      </c>
      <c r="AG304" s="61">
        <f ca="1">COUNTBLANK(INDIRECT("b304"))</f>
        <v>1</v>
      </c>
    </row>
    <row r="305" spans="1:33" x14ac:dyDescent="0.25">
      <c r="A305" s="2">
        <v>125</v>
      </c>
      <c r="B305" s="63"/>
      <c r="C305" s="56"/>
      <c r="D305" s="56"/>
      <c r="E305" s="56"/>
      <c r="F305" s="56"/>
      <c r="G305" s="56"/>
      <c r="H305" s="56"/>
      <c r="I305" s="117" t="str">
        <f ca="1">IF(AND(INDIRECT("H305")&gt;=INDIRECT("F305"),AA305=0,AB305=0,AC305=0,AF305=0),"Yes",IF(AND(INDIRECT("H305")&lt;INDIRECT("F305"),AA305=0,AB305=0,AC305=0,AF305=0),"No","N/A"))</f>
        <v>N/A</v>
      </c>
      <c r="J305" s="174" t="str">
        <f t="shared" ca="1" si="12"/>
        <v>No Error</v>
      </c>
      <c r="K305" s="174"/>
      <c r="L305" s="174"/>
      <c r="AA305" s="61">
        <f ca="1">COUNTBLANK(INDIRECT("C305"))</f>
        <v>1</v>
      </c>
      <c r="AB305" s="61">
        <f ca="1">COUNTBLANK(INDIRECT("D305"))</f>
        <v>1</v>
      </c>
      <c r="AC305" s="61">
        <f ca="1">COUNTBLANK(INDIRECT("e305"))</f>
        <v>1</v>
      </c>
      <c r="AD305" s="61">
        <f ca="1">COUNTBLANK(INDIRECT("f305"))</f>
        <v>1</v>
      </c>
      <c r="AE305" s="61">
        <f ca="1">COUNTBLANK(INDIRECT("g305"))</f>
        <v>1</v>
      </c>
      <c r="AF305" s="61">
        <f ca="1">COUNTBLANK(INDIRECT("h305"))</f>
        <v>1</v>
      </c>
      <c r="AG305" s="61">
        <f ca="1">COUNTBLANK(INDIRECT("b305"))</f>
        <v>1</v>
      </c>
    </row>
    <row r="306" spans="1:33" x14ac:dyDescent="0.25">
      <c r="A306" s="2">
        <v>126</v>
      </c>
      <c r="B306" s="63"/>
      <c r="C306" s="56"/>
      <c r="D306" s="56"/>
      <c r="E306" s="56"/>
      <c r="F306" s="56"/>
      <c r="G306" s="56"/>
      <c r="H306" s="56"/>
      <c r="I306" s="117" t="str">
        <f ca="1">IF(AND(INDIRECT("H306")&gt;=INDIRECT("F306"),AA306=0,AB306=0,AC306=0,AF306=0),"Yes",IF(AND(INDIRECT("H306")&lt;INDIRECT("F306"),AA306=0,AB306=0,AC306=0,AF306=0),"No","N/A"))</f>
        <v>N/A</v>
      </c>
      <c r="J306" s="174" t="str">
        <f t="shared" ca="1" si="12"/>
        <v>No Error</v>
      </c>
      <c r="K306" s="174"/>
      <c r="L306" s="174"/>
      <c r="AA306" s="61">
        <f ca="1">COUNTBLANK(INDIRECT("C306"))</f>
        <v>1</v>
      </c>
      <c r="AB306" s="61">
        <f ca="1">COUNTBLANK(INDIRECT("D306"))</f>
        <v>1</v>
      </c>
      <c r="AC306" s="61">
        <f ca="1">COUNTBLANK(INDIRECT("e306"))</f>
        <v>1</v>
      </c>
      <c r="AD306" s="61">
        <f ca="1">COUNTBLANK(INDIRECT("f306"))</f>
        <v>1</v>
      </c>
      <c r="AE306" s="61">
        <f ca="1">COUNTBLANK(INDIRECT("g306"))</f>
        <v>1</v>
      </c>
      <c r="AF306" s="61">
        <f ca="1">COUNTBLANK(INDIRECT("h306"))</f>
        <v>1</v>
      </c>
      <c r="AG306" s="61">
        <f ca="1">COUNTBLANK(INDIRECT("b306"))</f>
        <v>1</v>
      </c>
    </row>
    <row r="307" spans="1:33" x14ac:dyDescent="0.25">
      <c r="A307" s="2">
        <v>127</v>
      </c>
      <c r="B307" s="63"/>
      <c r="C307" s="56"/>
      <c r="D307" s="56"/>
      <c r="E307" s="56"/>
      <c r="F307" s="56"/>
      <c r="G307" s="56"/>
      <c r="H307" s="56"/>
      <c r="I307" s="117" t="str">
        <f ca="1">IF(AND(INDIRECT("H307")&gt;=INDIRECT("F307"),AA307=0,AB307=0,AC307=0,AF307=0),"Yes",IF(AND(INDIRECT("H307")&lt;INDIRECT("F307"),AA307=0,AB307=0,AC307=0,AF307=0),"No","N/A"))</f>
        <v>N/A</v>
      </c>
      <c r="J307" s="174" t="str">
        <f t="shared" ca="1" si="12"/>
        <v>No Error</v>
      </c>
      <c r="K307" s="174"/>
      <c r="L307" s="174"/>
      <c r="AA307" s="61">
        <f ca="1">COUNTBLANK(INDIRECT("C307"))</f>
        <v>1</v>
      </c>
      <c r="AB307" s="61">
        <f ca="1">COUNTBLANK(INDIRECT("D307"))</f>
        <v>1</v>
      </c>
      <c r="AC307" s="61">
        <f ca="1">COUNTBLANK(INDIRECT("e307"))</f>
        <v>1</v>
      </c>
      <c r="AD307" s="61">
        <f ca="1">COUNTBLANK(INDIRECT("f307"))</f>
        <v>1</v>
      </c>
      <c r="AE307" s="61">
        <f ca="1">COUNTBLANK(INDIRECT("g307"))</f>
        <v>1</v>
      </c>
      <c r="AF307" s="61">
        <f ca="1">COUNTBLANK(INDIRECT("h307"))</f>
        <v>1</v>
      </c>
      <c r="AG307" s="61">
        <f ca="1">COUNTBLANK(INDIRECT("b307"))</f>
        <v>1</v>
      </c>
    </row>
    <row r="308" spans="1:33" x14ac:dyDescent="0.25">
      <c r="A308" s="2">
        <v>128</v>
      </c>
      <c r="B308" s="63"/>
      <c r="C308" s="56"/>
      <c r="D308" s="56"/>
      <c r="E308" s="56"/>
      <c r="F308" s="56"/>
      <c r="G308" s="56"/>
      <c r="H308" s="56"/>
      <c r="I308" s="117" t="str">
        <f ca="1">IF(AND(INDIRECT("H308")&gt;=INDIRECT("F308"),AA308=0,AB308=0,AC308=0,AF308=0),"Yes",IF(AND(INDIRECT("H308")&lt;INDIRECT("F308"),AA308=0,AB308=0,AC308=0,AF308=0),"No","N/A"))</f>
        <v>N/A</v>
      </c>
      <c r="J308" s="174" t="str">
        <f t="shared" ca="1" si="12"/>
        <v>No Error</v>
      </c>
      <c r="K308" s="174"/>
      <c r="L308" s="174"/>
      <c r="AA308" s="61">
        <f ca="1">COUNTBLANK(INDIRECT("C308"))</f>
        <v>1</v>
      </c>
      <c r="AB308" s="61">
        <f ca="1">COUNTBLANK(INDIRECT("D308"))</f>
        <v>1</v>
      </c>
      <c r="AC308" s="61">
        <f ca="1">COUNTBLANK(INDIRECT("e308"))</f>
        <v>1</v>
      </c>
      <c r="AD308" s="61">
        <f ca="1">COUNTBLANK(INDIRECT("f308"))</f>
        <v>1</v>
      </c>
      <c r="AE308" s="61">
        <f ca="1">COUNTBLANK(INDIRECT("g308"))</f>
        <v>1</v>
      </c>
      <c r="AF308" s="61">
        <f ca="1">COUNTBLANK(INDIRECT("h308"))</f>
        <v>1</v>
      </c>
      <c r="AG308" s="61">
        <f ca="1">COUNTBLANK(INDIRECT("b308"))</f>
        <v>1</v>
      </c>
    </row>
    <row r="309" spans="1:33" x14ac:dyDescent="0.25">
      <c r="A309" s="2">
        <v>129</v>
      </c>
      <c r="B309" s="63"/>
      <c r="C309" s="56"/>
      <c r="D309" s="56"/>
      <c r="E309" s="56"/>
      <c r="F309" s="56"/>
      <c r="G309" s="56"/>
      <c r="H309" s="56"/>
      <c r="I309" s="117" t="str">
        <f ca="1">IF(AND(INDIRECT("H309")&gt;=INDIRECT("F309"),AA309=0,AB309=0,AC309=0,AF309=0),"Yes",IF(AND(INDIRECT("H309")&lt;INDIRECT("F309"),AA309=0,AB309=0,AC309=0,AF309=0),"No","N/A"))</f>
        <v>N/A</v>
      </c>
      <c r="J309" s="174" t="str">
        <f t="shared" ref="J309:J330" ca="1" si="13">IF(AND(AF309=0,AG309=0,AA309=0,AB309=0,AC309=0,AD309=0),"No Error",IF(AND(AF309=1,AG309=1,AA309=1,AB309=1,AC309=1,AD309=1),"No Error","Please supply all information"))</f>
        <v>No Error</v>
      </c>
      <c r="K309" s="174"/>
      <c r="L309" s="174"/>
      <c r="AA309" s="61">
        <f ca="1">COUNTBLANK(INDIRECT("C309"))</f>
        <v>1</v>
      </c>
      <c r="AB309" s="61">
        <f ca="1">COUNTBLANK(INDIRECT("D309"))</f>
        <v>1</v>
      </c>
      <c r="AC309" s="61">
        <f ca="1">COUNTBLANK(INDIRECT("e309"))</f>
        <v>1</v>
      </c>
      <c r="AD309" s="61">
        <f ca="1">COUNTBLANK(INDIRECT("f309"))</f>
        <v>1</v>
      </c>
      <c r="AE309" s="61">
        <f ca="1">COUNTBLANK(INDIRECT("g309"))</f>
        <v>1</v>
      </c>
      <c r="AF309" s="61">
        <f ca="1">COUNTBLANK(INDIRECT("h309"))</f>
        <v>1</v>
      </c>
      <c r="AG309" s="61">
        <f ca="1">COUNTBLANK(INDIRECT("b309"))</f>
        <v>1</v>
      </c>
    </row>
    <row r="310" spans="1:33" x14ac:dyDescent="0.25">
      <c r="A310" s="2">
        <v>130</v>
      </c>
      <c r="B310" s="63"/>
      <c r="C310" s="56"/>
      <c r="D310" s="56"/>
      <c r="E310" s="56"/>
      <c r="F310" s="56"/>
      <c r="G310" s="56"/>
      <c r="H310" s="56"/>
      <c r="I310" s="117" t="str">
        <f ca="1">IF(AND(INDIRECT("H310")&gt;=INDIRECT("F310"),AA310=0,AB310=0,AC310=0,AF310=0),"Yes",IF(AND(INDIRECT("H310")&lt;INDIRECT("F310"),AA310=0,AB310=0,AC310=0,AF310=0),"No","N/A"))</f>
        <v>N/A</v>
      </c>
      <c r="J310" s="174" t="str">
        <f t="shared" ca="1" si="13"/>
        <v>No Error</v>
      </c>
      <c r="K310" s="174"/>
      <c r="L310" s="174"/>
      <c r="AA310" s="61">
        <f ca="1">COUNTBLANK(INDIRECT("C310"))</f>
        <v>1</v>
      </c>
      <c r="AB310" s="61">
        <f ca="1">COUNTBLANK(INDIRECT("D310"))</f>
        <v>1</v>
      </c>
      <c r="AC310" s="61">
        <f ca="1">COUNTBLANK(INDIRECT("e310"))</f>
        <v>1</v>
      </c>
      <c r="AD310" s="61">
        <f ca="1">COUNTBLANK(INDIRECT("f310"))</f>
        <v>1</v>
      </c>
      <c r="AE310" s="61">
        <f ca="1">COUNTBLANK(INDIRECT("g310"))</f>
        <v>1</v>
      </c>
      <c r="AF310" s="61">
        <f ca="1">COUNTBLANK(INDIRECT("h310"))</f>
        <v>1</v>
      </c>
      <c r="AG310" s="61">
        <f ca="1">COUNTBLANK(INDIRECT("b310"))</f>
        <v>1</v>
      </c>
    </row>
    <row r="311" spans="1:33" x14ac:dyDescent="0.25">
      <c r="A311" s="2">
        <v>131</v>
      </c>
      <c r="B311" s="63"/>
      <c r="C311" s="56"/>
      <c r="D311" s="56"/>
      <c r="E311" s="56"/>
      <c r="F311" s="56"/>
      <c r="G311" s="56"/>
      <c r="H311" s="56"/>
      <c r="I311" s="117" t="str">
        <f ca="1">IF(AND(INDIRECT("H311")&gt;=INDIRECT("F311"),AA311=0,AB311=0,AC311=0,AF311=0),"Yes",IF(AND(INDIRECT("H311")&lt;INDIRECT("F311"),AA311=0,AB311=0,AC311=0,AF311=0),"No","N/A"))</f>
        <v>N/A</v>
      </c>
      <c r="J311" s="174" t="str">
        <f t="shared" ca="1" si="13"/>
        <v>No Error</v>
      </c>
      <c r="K311" s="174"/>
      <c r="L311" s="174"/>
      <c r="AA311" s="61">
        <f ca="1">COUNTBLANK(INDIRECT("C311"))</f>
        <v>1</v>
      </c>
      <c r="AB311" s="61">
        <f ca="1">COUNTBLANK(INDIRECT("D311"))</f>
        <v>1</v>
      </c>
      <c r="AC311" s="61">
        <f ca="1">COUNTBLANK(INDIRECT("e311"))</f>
        <v>1</v>
      </c>
      <c r="AD311" s="61">
        <f ca="1">COUNTBLANK(INDIRECT("f311"))</f>
        <v>1</v>
      </c>
      <c r="AE311" s="61">
        <f ca="1">COUNTBLANK(INDIRECT("g311"))</f>
        <v>1</v>
      </c>
      <c r="AF311" s="61">
        <f ca="1">COUNTBLANK(INDIRECT("h311"))</f>
        <v>1</v>
      </c>
      <c r="AG311" s="61">
        <f ca="1">COUNTBLANK(INDIRECT("b311"))</f>
        <v>1</v>
      </c>
    </row>
    <row r="312" spans="1:33" x14ac:dyDescent="0.25">
      <c r="A312" s="2">
        <v>132</v>
      </c>
      <c r="B312" s="63"/>
      <c r="C312" s="56"/>
      <c r="D312" s="56"/>
      <c r="E312" s="56"/>
      <c r="F312" s="56"/>
      <c r="G312" s="56"/>
      <c r="H312" s="56"/>
      <c r="I312" s="117" t="str">
        <f ca="1">IF(AND(INDIRECT("H312")&gt;=INDIRECT("F312"),AA312=0,AB312=0,AC312=0,AF312=0),"Yes",IF(AND(INDIRECT("H312")&lt;INDIRECT("F312"),AA312=0,AB312=0,AC312=0,AF312=0),"No","N/A"))</f>
        <v>N/A</v>
      </c>
      <c r="J312" s="174" t="str">
        <f t="shared" ca="1" si="13"/>
        <v>No Error</v>
      </c>
      <c r="K312" s="174"/>
      <c r="L312" s="174"/>
      <c r="AA312" s="61">
        <f ca="1">COUNTBLANK(INDIRECT("C312"))</f>
        <v>1</v>
      </c>
      <c r="AB312" s="61">
        <f ca="1">COUNTBLANK(INDIRECT("D312"))</f>
        <v>1</v>
      </c>
      <c r="AC312" s="61">
        <f ca="1">COUNTBLANK(INDIRECT("e312"))</f>
        <v>1</v>
      </c>
      <c r="AD312" s="61">
        <f ca="1">COUNTBLANK(INDIRECT("f312"))</f>
        <v>1</v>
      </c>
      <c r="AE312" s="61">
        <f ca="1">COUNTBLANK(INDIRECT("g312"))</f>
        <v>1</v>
      </c>
      <c r="AF312" s="61">
        <f ca="1">COUNTBLANK(INDIRECT("h312"))</f>
        <v>1</v>
      </c>
      <c r="AG312" s="61">
        <f ca="1">COUNTBLANK(INDIRECT("b312"))</f>
        <v>1</v>
      </c>
    </row>
    <row r="313" spans="1:33" x14ac:dyDescent="0.25">
      <c r="A313" s="2">
        <v>133</v>
      </c>
      <c r="B313" s="63"/>
      <c r="C313" s="56"/>
      <c r="D313" s="56"/>
      <c r="E313" s="56"/>
      <c r="F313" s="56"/>
      <c r="G313" s="56"/>
      <c r="H313" s="56"/>
      <c r="I313" s="117" t="str">
        <f ca="1">IF(AND(INDIRECT("H313")&gt;=INDIRECT("F313"),AA313=0,AB313=0,AC313=0,AF313=0),"Yes",IF(AND(INDIRECT("H313")&lt;INDIRECT("F313"),AA313=0,AB313=0,AC313=0,AF313=0),"No","N/A"))</f>
        <v>N/A</v>
      </c>
      <c r="J313" s="174" t="str">
        <f t="shared" ca="1" si="13"/>
        <v>No Error</v>
      </c>
      <c r="K313" s="174"/>
      <c r="L313" s="174"/>
      <c r="AA313" s="61">
        <f ca="1">COUNTBLANK(INDIRECT("C313"))</f>
        <v>1</v>
      </c>
      <c r="AB313" s="61">
        <f ca="1">COUNTBLANK(INDIRECT("D313"))</f>
        <v>1</v>
      </c>
      <c r="AC313" s="61">
        <f ca="1">COUNTBLANK(INDIRECT("e313"))</f>
        <v>1</v>
      </c>
      <c r="AD313" s="61">
        <f ca="1">COUNTBLANK(INDIRECT("f313"))</f>
        <v>1</v>
      </c>
      <c r="AE313" s="61">
        <f ca="1">COUNTBLANK(INDIRECT("g313"))</f>
        <v>1</v>
      </c>
      <c r="AF313" s="61">
        <f ca="1">COUNTBLANK(INDIRECT("h313"))</f>
        <v>1</v>
      </c>
      <c r="AG313" s="61">
        <f ca="1">COUNTBLANK(INDIRECT("b313"))</f>
        <v>1</v>
      </c>
    </row>
    <row r="314" spans="1:33" x14ac:dyDescent="0.25">
      <c r="A314" s="2">
        <v>134</v>
      </c>
      <c r="B314" s="63"/>
      <c r="C314" s="56"/>
      <c r="D314" s="56"/>
      <c r="E314" s="56"/>
      <c r="F314" s="56"/>
      <c r="G314" s="56"/>
      <c r="H314" s="56"/>
      <c r="I314" s="117" t="str">
        <f ca="1">IF(AND(INDIRECT("H314")&gt;=INDIRECT("F314"),AA314=0,AB314=0,AC314=0,AF314=0),"Yes",IF(AND(INDIRECT("H314")&lt;INDIRECT("F314"),AA314=0,AB314=0,AC314=0,AF314=0),"No","N/A"))</f>
        <v>N/A</v>
      </c>
      <c r="J314" s="174" t="str">
        <f t="shared" ca="1" si="13"/>
        <v>No Error</v>
      </c>
      <c r="K314" s="174"/>
      <c r="L314" s="174"/>
      <c r="AA314" s="61">
        <f ca="1">COUNTBLANK(INDIRECT("C314"))</f>
        <v>1</v>
      </c>
      <c r="AB314" s="61">
        <f ca="1">COUNTBLANK(INDIRECT("D314"))</f>
        <v>1</v>
      </c>
      <c r="AC314" s="61">
        <f ca="1">COUNTBLANK(INDIRECT("e314"))</f>
        <v>1</v>
      </c>
      <c r="AD314" s="61">
        <f ca="1">COUNTBLANK(INDIRECT("f314"))</f>
        <v>1</v>
      </c>
      <c r="AE314" s="61">
        <f ca="1">COUNTBLANK(INDIRECT("g314"))</f>
        <v>1</v>
      </c>
      <c r="AF314" s="61">
        <f ca="1">COUNTBLANK(INDIRECT("h314"))</f>
        <v>1</v>
      </c>
      <c r="AG314" s="61">
        <f ca="1">COUNTBLANK(INDIRECT("b314"))</f>
        <v>1</v>
      </c>
    </row>
    <row r="315" spans="1:33" x14ac:dyDescent="0.25">
      <c r="A315" s="2">
        <v>135</v>
      </c>
      <c r="B315" s="63"/>
      <c r="C315" s="56"/>
      <c r="D315" s="56"/>
      <c r="E315" s="56"/>
      <c r="F315" s="56"/>
      <c r="G315" s="56"/>
      <c r="H315" s="56"/>
      <c r="I315" s="117" t="str">
        <f ca="1">IF(AND(INDIRECT("H315")&gt;=INDIRECT("F315"),AA315=0,AB315=0,AC315=0,AF315=0),"Yes",IF(AND(INDIRECT("H315")&lt;INDIRECT("F315"),AA315=0,AB315=0,AC315=0,AF315=0),"No","N/A"))</f>
        <v>N/A</v>
      </c>
      <c r="J315" s="174" t="str">
        <f t="shared" ca="1" si="13"/>
        <v>No Error</v>
      </c>
      <c r="K315" s="174"/>
      <c r="L315" s="174"/>
      <c r="AA315" s="61">
        <f ca="1">COUNTBLANK(INDIRECT("C315"))</f>
        <v>1</v>
      </c>
      <c r="AB315" s="61">
        <f ca="1">COUNTBLANK(INDIRECT("D315"))</f>
        <v>1</v>
      </c>
      <c r="AC315" s="61">
        <f ca="1">COUNTBLANK(INDIRECT("e315"))</f>
        <v>1</v>
      </c>
      <c r="AD315" s="61">
        <f ca="1">COUNTBLANK(INDIRECT("f315"))</f>
        <v>1</v>
      </c>
      <c r="AE315" s="61">
        <f ca="1">COUNTBLANK(INDIRECT("g315"))</f>
        <v>1</v>
      </c>
      <c r="AF315" s="61">
        <f ca="1">COUNTBLANK(INDIRECT("h315"))</f>
        <v>1</v>
      </c>
      <c r="AG315" s="61">
        <f ca="1">COUNTBLANK(INDIRECT("b315"))</f>
        <v>1</v>
      </c>
    </row>
    <row r="316" spans="1:33" x14ac:dyDescent="0.25">
      <c r="A316" s="2">
        <v>136</v>
      </c>
      <c r="B316" s="63"/>
      <c r="C316" s="56"/>
      <c r="D316" s="56"/>
      <c r="E316" s="56"/>
      <c r="F316" s="56"/>
      <c r="G316" s="56"/>
      <c r="H316" s="56"/>
      <c r="I316" s="117" t="str">
        <f ca="1">IF(AND(INDIRECT("H316")&gt;=INDIRECT("F316"),AA316=0,AB316=0,AC316=0,AF316=0),"Yes",IF(AND(INDIRECT("H316")&lt;INDIRECT("F316"),AA316=0,AB316=0,AC316=0,AF316=0),"No","N/A"))</f>
        <v>N/A</v>
      </c>
      <c r="J316" s="174" t="str">
        <f t="shared" ca="1" si="13"/>
        <v>No Error</v>
      </c>
      <c r="K316" s="174"/>
      <c r="L316" s="174"/>
      <c r="AA316" s="61">
        <f ca="1">COUNTBLANK(INDIRECT("C316"))</f>
        <v>1</v>
      </c>
      <c r="AB316" s="61">
        <f ca="1">COUNTBLANK(INDIRECT("D316"))</f>
        <v>1</v>
      </c>
      <c r="AC316" s="61">
        <f ca="1">COUNTBLANK(INDIRECT("e316"))</f>
        <v>1</v>
      </c>
      <c r="AD316" s="61">
        <f ca="1">COUNTBLANK(INDIRECT("f316"))</f>
        <v>1</v>
      </c>
      <c r="AE316" s="61">
        <f ca="1">COUNTBLANK(INDIRECT("g316"))</f>
        <v>1</v>
      </c>
      <c r="AF316" s="61">
        <f ca="1">COUNTBLANK(INDIRECT("h316"))</f>
        <v>1</v>
      </c>
      <c r="AG316" s="61">
        <f ca="1">COUNTBLANK(INDIRECT("b316"))</f>
        <v>1</v>
      </c>
    </row>
    <row r="317" spans="1:33" x14ac:dyDescent="0.25">
      <c r="A317" s="2">
        <v>137</v>
      </c>
      <c r="B317" s="63"/>
      <c r="C317" s="56"/>
      <c r="D317" s="56"/>
      <c r="E317" s="56"/>
      <c r="F317" s="56"/>
      <c r="G317" s="56"/>
      <c r="H317" s="56"/>
      <c r="I317" s="117" t="str">
        <f ca="1">IF(AND(INDIRECT("H317")&gt;=INDIRECT("F317"),AA317=0,AB317=0,AC317=0,AF317=0),"Yes",IF(AND(INDIRECT("H317")&lt;INDIRECT("F317"),AA317=0,AB317=0,AC317=0,AF317=0),"No","N/A"))</f>
        <v>N/A</v>
      </c>
      <c r="J317" s="174" t="str">
        <f t="shared" ca="1" si="13"/>
        <v>No Error</v>
      </c>
      <c r="K317" s="174"/>
      <c r="L317" s="174"/>
      <c r="AA317" s="61">
        <f ca="1">COUNTBLANK(INDIRECT("C317"))</f>
        <v>1</v>
      </c>
      <c r="AB317" s="61">
        <f ca="1">COUNTBLANK(INDIRECT("D317"))</f>
        <v>1</v>
      </c>
      <c r="AC317" s="61">
        <f ca="1">COUNTBLANK(INDIRECT("e317"))</f>
        <v>1</v>
      </c>
      <c r="AD317" s="61">
        <f ca="1">COUNTBLANK(INDIRECT("f317"))</f>
        <v>1</v>
      </c>
      <c r="AE317" s="61">
        <f ca="1">COUNTBLANK(INDIRECT("g317"))</f>
        <v>1</v>
      </c>
      <c r="AF317" s="61">
        <f ca="1">COUNTBLANK(INDIRECT("h317"))</f>
        <v>1</v>
      </c>
      <c r="AG317" s="61">
        <f ca="1">COUNTBLANK(INDIRECT("b317"))</f>
        <v>1</v>
      </c>
    </row>
    <row r="318" spans="1:33" x14ac:dyDescent="0.25">
      <c r="A318" s="2">
        <v>138</v>
      </c>
      <c r="B318" s="63"/>
      <c r="C318" s="56"/>
      <c r="D318" s="56"/>
      <c r="E318" s="56"/>
      <c r="F318" s="56"/>
      <c r="G318" s="56"/>
      <c r="H318" s="56"/>
      <c r="I318" s="117" t="str">
        <f ca="1">IF(AND(INDIRECT("H318")&gt;=INDIRECT("F318"),AA318=0,AB318=0,AC318=0,AF318=0),"Yes",IF(AND(INDIRECT("H318")&lt;INDIRECT("F318"),AA318=0,AB318=0,AC318=0,AF318=0),"No","N/A"))</f>
        <v>N/A</v>
      </c>
      <c r="J318" s="174" t="str">
        <f t="shared" ca="1" si="13"/>
        <v>No Error</v>
      </c>
      <c r="K318" s="174"/>
      <c r="L318" s="174"/>
      <c r="AA318" s="61">
        <f ca="1">COUNTBLANK(INDIRECT("C318"))</f>
        <v>1</v>
      </c>
      <c r="AB318" s="61">
        <f ca="1">COUNTBLANK(INDIRECT("D318"))</f>
        <v>1</v>
      </c>
      <c r="AC318" s="61">
        <f ca="1">COUNTBLANK(INDIRECT("e318"))</f>
        <v>1</v>
      </c>
      <c r="AD318" s="61">
        <f ca="1">COUNTBLANK(INDIRECT("f318"))</f>
        <v>1</v>
      </c>
      <c r="AE318" s="61">
        <f ca="1">COUNTBLANK(INDIRECT("g318"))</f>
        <v>1</v>
      </c>
      <c r="AF318" s="61">
        <f ca="1">COUNTBLANK(INDIRECT("h318"))</f>
        <v>1</v>
      </c>
      <c r="AG318" s="61">
        <f ca="1">COUNTBLANK(INDIRECT("b318"))</f>
        <v>1</v>
      </c>
    </row>
    <row r="319" spans="1:33" x14ac:dyDescent="0.25">
      <c r="A319" s="2">
        <v>139</v>
      </c>
      <c r="B319" s="63"/>
      <c r="C319" s="56"/>
      <c r="D319" s="56"/>
      <c r="E319" s="56"/>
      <c r="F319" s="56"/>
      <c r="G319" s="56"/>
      <c r="H319" s="56"/>
      <c r="I319" s="117" t="str">
        <f ca="1">IF(AND(INDIRECT("H319")&gt;=INDIRECT("F319"),AA319=0,AB319=0,AC319=0,AF319=0),"Yes",IF(AND(INDIRECT("H319")&lt;INDIRECT("F319"),AA319=0,AB319=0,AC319=0,AF319=0),"No","N/A"))</f>
        <v>N/A</v>
      </c>
      <c r="J319" s="174" t="str">
        <f t="shared" ca="1" si="13"/>
        <v>No Error</v>
      </c>
      <c r="K319" s="174"/>
      <c r="L319" s="174"/>
      <c r="AA319" s="61">
        <f ca="1">COUNTBLANK(INDIRECT("C319"))</f>
        <v>1</v>
      </c>
      <c r="AB319" s="61">
        <f ca="1">COUNTBLANK(INDIRECT("D319"))</f>
        <v>1</v>
      </c>
      <c r="AC319" s="61">
        <f ca="1">COUNTBLANK(INDIRECT("e319"))</f>
        <v>1</v>
      </c>
      <c r="AD319" s="61">
        <f ca="1">COUNTBLANK(INDIRECT("f319"))</f>
        <v>1</v>
      </c>
      <c r="AE319" s="61">
        <f ca="1">COUNTBLANK(INDIRECT("g319"))</f>
        <v>1</v>
      </c>
      <c r="AF319" s="61">
        <f ca="1">COUNTBLANK(INDIRECT("h319"))</f>
        <v>1</v>
      </c>
      <c r="AG319" s="61">
        <f ca="1">COUNTBLANK(INDIRECT("b319"))</f>
        <v>1</v>
      </c>
    </row>
    <row r="320" spans="1:33" x14ac:dyDescent="0.25">
      <c r="A320" s="2">
        <v>140</v>
      </c>
      <c r="B320" s="63"/>
      <c r="C320" s="56"/>
      <c r="D320" s="56"/>
      <c r="E320" s="56"/>
      <c r="F320" s="56"/>
      <c r="G320" s="56"/>
      <c r="H320" s="56"/>
      <c r="I320" s="117" t="str">
        <f ca="1">IF(AND(INDIRECT("H320")&gt;=INDIRECT("F320"),AA320=0,AB320=0,AC320=0,AF320=0),"Yes",IF(AND(INDIRECT("H320")&lt;INDIRECT("F320"),AA320=0,AB320=0,AC320=0,AF320=0),"No","N/A"))</f>
        <v>N/A</v>
      </c>
      <c r="J320" s="174" t="str">
        <f t="shared" ca="1" si="13"/>
        <v>No Error</v>
      </c>
      <c r="K320" s="174"/>
      <c r="L320" s="174"/>
      <c r="AA320" s="61">
        <f ca="1">COUNTBLANK(INDIRECT("C320"))</f>
        <v>1</v>
      </c>
      <c r="AB320" s="61">
        <f ca="1">COUNTBLANK(INDIRECT("D320"))</f>
        <v>1</v>
      </c>
      <c r="AC320" s="61">
        <f ca="1">COUNTBLANK(INDIRECT("e320"))</f>
        <v>1</v>
      </c>
      <c r="AD320" s="61">
        <f ca="1">COUNTBLANK(INDIRECT("f320"))</f>
        <v>1</v>
      </c>
      <c r="AE320" s="61">
        <f ca="1">COUNTBLANK(INDIRECT("g320"))</f>
        <v>1</v>
      </c>
      <c r="AF320" s="61">
        <f ca="1">COUNTBLANK(INDIRECT("h320"))</f>
        <v>1</v>
      </c>
      <c r="AG320" s="61">
        <f ca="1">COUNTBLANK(INDIRECT("b320"))</f>
        <v>1</v>
      </c>
    </row>
    <row r="321" spans="1:33" x14ac:dyDescent="0.25">
      <c r="A321" s="2">
        <v>141</v>
      </c>
      <c r="B321" s="63"/>
      <c r="C321" s="56"/>
      <c r="D321" s="56"/>
      <c r="E321" s="56"/>
      <c r="F321" s="56"/>
      <c r="G321" s="56"/>
      <c r="H321" s="56"/>
      <c r="I321" s="117" t="str">
        <f ca="1">IF(AND(INDIRECT("H321")&gt;=INDIRECT("F321"),AA321=0,AB321=0,AC321=0,AF321=0),"Yes",IF(AND(INDIRECT("H321")&lt;INDIRECT("F321"),AA321=0,AB321=0,AC321=0,AF321=0),"No","N/A"))</f>
        <v>N/A</v>
      </c>
      <c r="J321" s="174" t="str">
        <f t="shared" ca="1" si="13"/>
        <v>No Error</v>
      </c>
      <c r="K321" s="174"/>
      <c r="L321" s="174"/>
      <c r="AA321" s="61">
        <f ca="1">COUNTBLANK(INDIRECT("C321"))</f>
        <v>1</v>
      </c>
      <c r="AB321" s="61">
        <f ca="1">COUNTBLANK(INDIRECT("D321"))</f>
        <v>1</v>
      </c>
      <c r="AC321" s="61">
        <f ca="1">COUNTBLANK(INDIRECT("e321"))</f>
        <v>1</v>
      </c>
      <c r="AD321" s="61">
        <f ca="1">COUNTBLANK(INDIRECT("f321"))</f>
        <v>1</v>
      </c>
      <c r="AE321" s="61">
        <f ca="1">COUNTBLANK(INDIRECT("g321"))</f>
        <v>1</v>
      </c>
      <c r="AF321" s="61">
        <f ca="1">COUNTBLANK(INDIRECT("h321"))</f>
        <v>1</v>
      </c>
      <c r="AG321" s="61">
        <f ca="1">COUNTBLANK(INDIRECT("b321"))</f>
        <v>1</v>
      </c>
    </row>
    <row r="322" spans="1:33" x14ac:dyDescent="0.25">
      <c r="A322" s="2">
        <v>142</v>
      </c>
      <c r="B322" s="63"/>
      <c r="C322" s="56"/>
      <c r="D322" s="56"/>
      <c r="E322" s="56"/>
      <c r="F322" s="56"/>
      <c r="G322" s="56"/>
      <c r="H322" s="56"/>
      <c r="I322" s="117" t="str">
        <f ca="1">IF(AND(INDIRECT("H322")&gt;=INDIRECT("F322"),AA322=0,AB322=0,AC322=0,AF322=0),"Yes",IF(AND(INDIRECT("H322")&lt;INDIRECT("F322"),AA322=0,AB322=0,AC322=0,AF322=0),"No","N/A"))</f>
        <v>N/A</v>
      </c>
      <c r="J322" s="174" t="str">
        <f t="shared" ca="1" si="13"/>
        <v>No Error</v>
      </c>
      <c r="K322" s="174"/>
      <c r="L322" s="174"/>
      <c r="AA322" s="61">
        <f ca="1">COUNTBLANK(INDIRECT("C322"))</f>
        <v>1</v>
      </c>
      <c r="AB322" s="61">
        <f ca="1">COUNTBLANK(INDIRECT("D322"))</f>
        <v>1</v>
      </c>
      <c r="AC322" s="61">
        <f ca="1">COUNTBLANK(INDIRECT("e322"))</f>
        <v>1</v>
      </c>
      <c r="AD322" s="61">
        <f ca="1">COUNTBLANK(INDIRECT("f322"))</f>
        <v>1</v>
      </c>
      <c r="AE322" s="61">
        <f ca="1">COUNTBLANK(INDIRECT("g322"))</f>
        <v>1</v>
      </c>
      <c r="AF322" s="61">
        <f ca="1">COUNTBLANK(INDIRECT("h322"))</f>
        <v>1</v>
      </c>
      <c r="AG322" s="61">
        <f ca="1">COUNTBLANK(INDIRECT("b322"))</f>
        <v>1</v>
      </c>
    </row>
    <row r="323" spans="1:33" x14ac:dyDescent="0.25">
      <c r="A323" s="2">
        <v>143</v>
      </c>
      <c r="B323" s="63"/>
      <c r="C323" s="56"/>
      <c r="D323" s="56"/>
      <c r="E323" s="56"/>
      <c r="F323" s="56"/>
      <c r="G323" s="56"/>
      <c r="H323" s="56"/>
      <c r="I323" s="117" t="str">
        <f ca="1">IF(AND(INDIRECT("H323")&gt;=INDIRECT("F323"),AA323=0,AB323=0,AC323=0,AF323=0),"Yes",IF(AND(INDIRECT("H323")&lt;INDIRECT("F323"),AA323=0,AB323=0,AC323=0,AF323=0),"No","N/A"))</f>
        <v>N/A</v>
      </c>
      <c r="J323" s="174" t="str">
        <f t="shared" ca="1" si="13"/>
        <v>No Error</v>
      </c>
      <c r="K323" s="174"/>
      <c r="L323" s="174"/>
      <c r="AA323" s="61">
        <f ca="1">COUNTBLANK(INDIRECT("C323"))</f>
        <v>1</v>
      </c>
      <c r="AB323" s="61">
        <f ca="1">COUNTBLANK(INDIRECT("D323"))</f>
        <v>1</v>
      </c>
      <c r="AC323" s="61">
        <f ca="1">COUNTBLANK(INDIRECT("e323"))</f>
        <v>1</v>
      </c>
      <c r="AD323" s="61">
        <f ca="1">COUNTBLANK(INDIRECT("f323"))</f>
        <v>1</v>
      </c>
      <c r="AE323" s="61">
        <f ca="1">COUNTBLANK(INDIRECT("g323"))</f>
        <v>1</v>
      </c>
      <c r="AF323" s="61">
        <f ca="1">COUNTBLANK(INDIRECT("h323"))</f>
        <v>1</v>
      </c>
      <c r="AG323" s="61">
        <f ca="1">COUNTBLANK(INDIRECT("b323"))</f>
        <v>1</v>
      </c>
    </row>
    <row r="324" spans="1:33" x14ac:dyDescent="0.25">
      <c r="A324" s="2">
        <v>144</v>
      </c>
      <c r="B324" s="63"/>
      <c r="C324" s="56"/>
      <c r="D324" s="56"/>
      <c r="E324" s="56"/>
      <c r="F324" s="56"/>
      <c r="G324" s="56"/>
      <c r="H324" s="56"/>
      <c r="I324" s="117" t="str">
        <f ca="1">IF(AND(INDIRECT("H324")&gt;=INDIRECT("F324"),AA324=0,AB324=0,AC324=0,AF324=0),"Yes",IF(AND(INDIRECT("H324")&lt;INDIRECT("F324"),AA324=0,AB324=0,AC324=0,AF324=0),"No","N/A"))</f>
        <v>N/A</v>
      </c>
      <c r="J324" s="174" t="str">
        <f t="shared" ca="1" si="13"/>
        <v>No Error</v>
      </c>
      <c r="K324" s="174"/>
      <c r="L324" s="174"/>
      <c r="AA324" s="61">
        <f ca="1">COUNTBLANK(INDIRECT("C324"))</f>
        <v>1</v>
      </c>
      <c r="AB324" s="61">
        <f ca="1">COUNTBLANK(INDIRECT("D324"))</f>
        <v>1</v>
      </c>
      <c r="AC324" s="61">
        <f ca="1">COUNTBLANK(INDIRECT("e324"))</f>
        <v>1</v>
      </c>
      <c r="AD324" s="61">
        <f ca="1">COUNTBLANK(INDIRECT("f324"))</f>
        <v>1</v>
      </c>
      <c r="AE324" s="61">
        <f ca="1">COUNTBLANK(INDIRECT("g324"))</f>
        <v>1</v>
      </c>
      <c r="AF324" s="61">
        <f ca="1">COUNTBLANK(INDIRECT("h324"))</f>
        <v>1</v>
      </c>
      <c r="AG324" s="61">
        <f ca="1">COUNTBLANK(INDIRECT("b324"))</f>
        <v>1</v>
      </c>
    </row>
    <row r="325" spans="1:33" x14ac:dyDescent="0.25">
      <c r="A325" s="2">
        <v>145</v>
      </c>
      <c r="B325" s="63"/>
      <c r="C325" s="56"/>
      <c r="D325" s="56"/>
      <c r="E325" s="56"/>
      <c r="F325" s="56"/>
      <c r="G325" s="56"/>
      <c r="H325" s="56"/>
      <c r="I325" s="117" t="str">
        <f ca="1">IF(AND(INDIRECT("H325")&gt;=INDIRECT("F325"),AA325=0,AB325=0,AC325=0,AF325=0),"Yes",IF(AND(INDIRECT("H325")&lt;INDIRECT("F325"),AA325=0,AB325=0,AC325=0,AF325=0),"No","N/A"))</f>
        <v>N/A</v>
      </c>
      <c r="J325" s="174" t="str">
        <f t="shared" ca="1" si="13"/>
        <v>No Error</v>
      </c>
      <c r="K325" s="174"/>
      <c r="L325" s="174"/>
      <c r="AA325" s="61">
        <f ca="1">COUNTBLANK(INDIRECT("C325"))</f>
        <v>1</v>
      </c>
      <c r="AB325" s="61">
        <f ca="1">COUNTBLANK(INDIRECT("D325"))</f>
        <v>1</v>
      </c>
      <c r="AC325" s="61">
        <f ca="1">COUNTBLANK(INDIRECT("e325"))</f>
        <v>1</v>
      </c>
      <c r="AD325" s="61">
        <f ca="1">COUNTBLANK(INDIRECT("f325"))</f>
        <v>1</v>
      </c>
      <c r="AE325" s="61">
        <f ca="1">COUNTBLANK(INDIRECT("g325"))</f>
        <v>1</v>
      </c>
      <c r="AF325" s="61">
        <f ca="1">COUNTBLANK(INDIRECT("h325"))</f>
        <v>1</v>
      </c>
      <c r="AG325" s="61">
        <f ca="1">COUNTBLANK(INDIRECT("b325"))</f>
        <v>1</v>
      </c>
    </row>
    <row r="326" spans="1:33" x14ac:dyDescent="0.25">
      <c r="A326" s="2">
        <v>146</v>
      </c>
      <c r="B326" s="63"/>
      <c r="C326" s="56"/>
      <c r="D326" s="56"/>
      <c r="E326" s="56"/>
      <c r="F326" s="56"/>
      <c r="G326" s="56"/>
      <c r="H326" s="56"/>
      <c r="I326" s="117" t="str">
        <f ca="1">IF(AND(INDIRECT("H326")&gt;=INDIRECT("F326"),AA326=0,AB326=0,AC326=0,AF326=0),"Yes",IF(AND(INDIRECT("H326")&lt;INDIRECT("F326"),AA326=0,AB326=0,AC326=0,AF326=0),"No","N/A"))</f>
        <v>N/A</v>
      </c>
      <c r="J326" s="174" t="str">
        <f t="shared" ca="1" si="13"/>
        <v>No Error</v>
      </c>
      <c r="K326" s="174"/>
      <c r="L326" s="174"/>
      <c r="AA326" s="61">
        <f ca="1">COUNTBLANK(INDIRECT("C326"))</f>
        <v>1</v>
      </c>
      <c r="AB326" s="61">
        <f ca="1">COUNTBLANK(INDIRECT("D326"))</f>
        <v>1</v>
      </c>
      <c r="AC326" s="61">
        <f ca="1">COUNTBLANK(INDIRECT("e326"))</f>
        <v>1</v>
      </c>
      <c r="AD326" s="61">
        <f ca="1">COUNTBLANK(INDIRECT("f326"))</f>
        <v>1</v>
      </c>
      <c r="AE326" s="61">
        <f ca="1">COUNTBLANK(INDIRECT("g326"))</f>
        <v>1</v>
      </c>
      <c r="AF326" s="61">
        <f ca="1">COUNTBLANK(INDIRECT("h326"))</f>
        <v>1</v>
      </c>
      <c r="AG326" s="61">
        <f ca="1">COUNTBLANK(INDIRECT("b326"))</f>
        <v>1</v>
      </c>
    </row>
    <row r="327" spans="1:33" x14ac:dyDescent="0.25">
      <c r="A327" s="2">
        <v>147</v>
      </c>
      <c r="B327" s="63"/>
      <c r="C327" s="56"/>
      <c r="D327" s="56"/>
      <c r="E327" s="56"/>
      <c r="F327" s="56"/>
      <c r="G327" s="56"/>
      <c r="H327" s="56"/>
      <c r="I327" s="117" t="str">
        <f ca="1">IF(AND(INDIRECT("H327")&gt;=INDIRECT("F327"),AA327=0,AB327=0,AC327=0,AF327=0),"Yes",IF(AND(INDIRECT("H327")&lt;INDIRECT("F327"),AA327=0,AB327=0,AC327=0,AF327=0),"No","N/A"))</f>
        <v>N/A</v>
      </c>
      <c r="J327" s="174" t="str">
        <f t="shared" ca="1" si="13"/>
        <v>No Error</v>
      </c>
      <c r="K327" s="174"/>
      <c r="L327" s="174"/>
      <c r="AA327" s="61">
        <f ca="1">COUNTBLANK(INDIRECT("C327"))</f>
        <v>1</v>
      </c>
      <c r="AB327" s="61">
        <f ca="1">COUNTBLANK(INDIRECT("D327"))</f>
        <v>1</v>
      </c>
      <c r="AC327" s="61">
        <f ca="1">COUNTBLANK(INDIRECT("e327"))</f>
        <v>1</v>
      </c>
      <c r="AD327" s="61">
        <f ca="1">COUNTBLANK(INDIRECT("f327"))</f>
        <v>1</v>
      </c>
      <c r="AE327" s="61">
        <f ca="1">COUNTBLANK(INDIRECT("g327"))</f>
        <v>1</v>
      </c>
      <c r="AF327" s="61">
        <f ca="1">COUNTBLANK(INDIRECT("h327"))</f>
        <v>1</v>
      </c>
      <c r="AG327" s="61">
        <f ca="1">COUNTBLANK(INDIRECT("b327"))</f>
        <v>1</v>
      </c>
    </row>
    <row r="328" spans="1:33" x14ac:dyDescent="0.25">
      <c r="A328" s="2">
        <v>148</v>
      </c>
      <c r="B328" s="63"/>
      <c r="C328" s="56"/>
      <c r="D328" s="56"/>
      <c r="E328" s="56"/>
      <c r="F328" s="56"/>
      <c r="G328" s="56"/>
      <c r="H328" s="56"/>
      <c r="I328" s="117" t="str">
        <f ca="1">IF(AND(INDIRECT("H328")&gt;=INDIRECT("F328"),AA328=0,AB328=0,AC328=0,AF328=0),"Yes",IF(AND(INDIRECT("H328")&lt;INDIRECT("F328"),AA328=0,AB328=0,AC328=0,AF328=0),"No","N/A"))</f>
        <v>N/A</v>
      </c>
      <c r="J328" s="174" t="str">
        <f t="shared" ca="1" si="13"/>
        <v>No Error</v>
      </c>
      <c r="K328" s="174"/>
      <c r="L328" s="174"/>
      <c r="AA328" s="61">
        <f ca="1">COUNTBLANK(INDIRECT("C328"))</f>
        <v>1</v>
      </c>
      <c r="AB328" s="61">
        <f ca="1">COUNTBLANK(INDIRECT("D328"))</f>
        <v>1</v>
      </c>
      <c r="AC328" s="61">
        <f ca="1">COUNTBLANK(INDIRECT("e328"))</f>
        <v>1</v>
      </c>
      <c r="AD328" s="61">
        <f ca="1">COUNTBLANK(INDIRECT("f328"))</f>
        <v>1</v>
      </c>
      <c r="AE328" s="61">
        <f ca="1">COUNTBLANK(INDIRECT("g328"))</f>
        <v>1</v>
      </c>
      <c r="AF328" s="61">
        <f ca="1">COUNTBLANK(INDIRECT("h328"))</f>
        <v>1</v>
      </c>
      <c r="AG328" s="61">
        <f ca="1">COUNTBLANK(INDIRECT("b328"))</f>
        <v>1</v>
      </c>
    </row>
    <row r="329" spans="1:33" x14ac:dyDescent="0.25">
      <c r="A329" s="2">
        <v>149</v>
      </c>
      <c r="B329" s="63"/>
      <c r="C329" s="56"/>
      <c r="D329" s="56"/>
      <c r="E329" s="56"/>
      <c r="F329" s="56"/>
      <c r="G329" s="56"/>
      <c r="H329" s="56"/>
      <c r="I329" s="117" t="str">
        <f ca="1">IF(AND(INDIRECT("H329")&gt;=INDIRECT("F329"),AA329=0,AB329=0,AC329=0,AF329=0),"Yes",IF(AND(INDIRECT("H329")&lt;INDIRECT("F329"),AA329=0,AB329=0,AC329=0,AF329=0),"No","N/A"))</f>
        <v>N/A</v>
      </c>
      <c r="J329" s="174" t="str">
        <f t="shared" ca="1" si="13"/>
        <v>No Error</v>
      </c>
      <c r="K329" s="174"/>
      <c r="L329" s="174"/>
      <c r="AA329" s="61">
        <f ca="1">COUNTBLANK(INDIRECT("C329"))</f>
        <v>1</v>
      </c>
      <c r="AB329" s="61">
        <f ca="1">COUNTBLANK(INDIRECT("D329"))</f>
        <v>1</v>
      </c>
      <c r="AC329" s="61">
        <f ca="1">COUNTBLANK(INDIRECT("e329"))</f>
        <v>1</v>
      </c>
      <c r="AD329" s="61">
        <f ca="1">COUNTBLANK(INDIRECT("f329"))</f>
        <v>1</v>
      </c>
      <c r="AE329" s="61">
        <f ca="1">COUNTBLANK(INDIRECT("g329"))</f>
        <v>1</v>
      </c>
      <c r="AF329" s="61">
        <f ca="1">COUNTBLANK(INDIRECT("h329"))</f>
        <v>1</v>
      </c>
      <c r="AG329" s="61">
        <f ca="1">COUNTBLANK(INDIRECT("b329"))</f>
        <v>1</v>
      </c>
    </row>
    <row r="330" spans="1:33" x14ac:dyDescent="0.25">
      <c r="A330" s="2">
        <v>150</v>
      </c>
      <c r="B330" s="63"/>
      <c r="C330" s="56"/>
      <c r="D330" s="56"/>
      <c r="E330" s="56"/>
      <c r="F330" s="56"/>
      <c r="G330" s="56"/>
      <c r="H330" s="56"/>
      <c r="I330" s="117" t="str">
        <f ca="1">IF(AND(INDIRECT("H330")&gt;=INDIRECT("F330"),AA330=0,AB330=0,AC330=0,AF330=0),"Yes",IF(AND(INDIRECT("H330")&lt;INDIRECT("F330"),AA330=0,AB330=0,AC330=0,AF330=0),"No","N/A"))</f>
        <v>N/A</v>
      </c>
      <c r="J330" s="174" t="str">
        <f t="shared" ca="1" si="13"/>
        <v>No Error</v>
      </c>
      <c r="K330" s="174"/>
      <c r="L330" s="174"/>
      <c r="AA330" s="61">
        <f ca="1">COUNTBLANK(INDIRECT("C330"))</f>
        <v>1</v>
      </c>
      <c r="AB330" s="61">
        <f ca="1">COUNTBLANK(INDIRECT("D330"))</f>
        <v>1</v>
      </c>
      <c r="AC330" s="61">
        <f ca="1">COUNTBLANK(INDIRECT("e330"))</f>
        <v>1</v>
      </c>
      <c r="AD330" s="61">
        <f ca="1">COUNTBLANK(INDIRECT("f330"))</f>
        <v>1</v>
      </c>
      <c r="AE330" s="61">
        <f ca="1">COUNTBLANK(INDIRECT("g330"))</f>
        <v>1</v>
      </c>
      <c r="AF330" s="61">
        <f ca="1">COUNTBLANK(INDIRECT("h330"))</f>
        <v>1</v>
      </c>
      <c r="AG330" s="61">
        <f ca="1">COUNTBLANK(INDIRECT("b330"))</f>
        <v>1</v>
      </c>
    </row>
    <row r="331" spans="1:33" ht="18.75" x14ac:dyDescent="0.3">
      <c r="B331" s="19" t="s">
        <v>14</v>
      </c>
      <c r="C331" s="19" t="s">
        <v>39</v>
      </c>
      <c r="D331" s="118" t="s">
        <v>40</v>
      </c>
      <c r="E331" s="118" t="s">
        <v>41</v>
      </c>
      <c r="F331" s="118" t="s">
        <v>42</v>
      </c>
      <c r="G331" s="118" t="s">
        <v>43</v>
      </c>
      <c r="H331" s="118" t="s">
        <v>44</v>
      </c>
      <c r="I331" s="118" t="s">
        <v>16</v>
      </c>
      <c r="J331" s="175" t="s">
        <v>187</v>
      </c>
      <c r="K331" s="175"/>
      <c r="L331" s="175"/>
      <c r="M331" s="13"/>
      <c r="N331" s="13"/>
      <c r="AA331" s="61"/>
      <c r="AB331" s="61"/>
      <c r="AC331" s="61"/>
      <c r="AD331" s="61"/>
      <c r="AE331" s="61"/>
      <c r="AF331" s="61"/>
      <c r="AG331" s="61"/>
    </row>
    <row r="332" spans="1:33" ht="21" x14ac:dyDescent="0.25">
      <c r="B332" s="179" t="s">
        <v>38</v>
      </c>
      <c r="C332" s="179"/>
      <c r="D332" s="179"/>
      <c r="E332" s="179"/>
      <c r="F332" s="179"/>
      <c r="G332" s="179"/>
      <c r="H332" s="179"/>
      <c r="I332" s="179"/>
      <c r="J332" s="45"/>
      <c r="K332" s="45"/>
      <c r="L332" s="45"/>
      <c r="M332" s="37"/>
      <c r="N332" s="43"/>
      <c r="AA332" s="61"/>
      <c r="AB332" s="61"/>
      <c r="AC332" s="61"/>
      <c r="AD332" s="61"/>
      <c r="AE332" s="61"/>
      <c r="AF332" s="61"/>
      <c r="AG332" s="61"/>
    </row>
    <row r="333" spans="1:33" x14ac:dyDescent="0.25">
      <c r="A333" s="2">
        <v>1</v>
      </c>
      <c r="B333" s="63"/>
      <c r="C333" s="56"/>
      <c r="D333" s="56"/>
      <c r="E333" s="56"/>
      <c r="F333" s="56"/>
      <c r="G333" s="56"/>
      <c r="H333" s="56"/>
      <c r="I333" s="117" t="str">
        <f ca="1">IF(AND(INDIRECT("H333")&gt;=INDIRECT("F333"),AA333=0,AB333=0,AC333=0,AF333=0),"Yes",IF(AND(INDIRECT("H333")&lt;INDIRECT("F333"),AA333=0,AB333=0,AC333=0,AF333=0),"No","N/A"))</f>
        <v>N/A</v>
      </c>
      <c r="J333" s="174" t="str">
        <f t="shared" ref="J333:J396" ca="1" si="14">IF(AND(AF333=0,AG333=0,AA333=0,AB333=0,AC333=0,AD333=0),"No Error",IF(AND(AF333=1,AG333=1,AA333=1,AB333=1,AC333=1,AD333=1),"No Error","Please supply all information"))</f>
        <v>No Error</v>
      </c>
      <c r="K333" s="174"/>
      <c r="L333" s="174"/>
      <c r="AA333" s="61">
        <f ca="1">COUNTBLANK(INDIRECT("C333"))</f>
        <v>1</v>
      </c>
      <c r="AB333" s="61">
        <f ca="1">COUNTBLANK(INDIRECT("d333"))</f>
        <v>1</v>
      </c>
      <c r="AC333" s="61">
        <f ca="1">COUNTBLANK(INDIRECT("e333"))</f>
        <v>1</v>
      </c>
      <c r="AD333" s="61">
        <f ca="1">COUNTBLANK(INDIRECT("f333"))</f>
        <v>1</v>
      </c>
      <c r="AE333" s="61">
        <f ca="1">COUNTBLANK(INDIRECT("g333"))</f>
        <v>1</v>
      </c>
      <c r="AF333" s="61">
        <f ca="1">COUNTBLANK(INDIRECT("h333"))</f>
        <v>1</v>
      </c>
      <c r="AG333" s="61">
        <f ca="1">COUNTBLANK(INDIRECT("b333"))</f>
        <v>1</v>
      </c>
    </row>
    <row r="334" spans="1:33" x14ac:dyDescent="0.25">
      <c r="A334" s="2">
        <v>2</v>
      </c>
      <c r="B334" s="63"/>
      <c r="C334" s="56"/>
      <c r="D334" s="56"/>
      <c r="E334" s="56"/>
      <c r="F334" s="56"/>
      <c r="G334" s="56"/>
      <c r="H334" s="56"/>
      <c r="I334" s="117" t="str">
        <f ca="1">IF(AND(INDIRECT("H334")&gt;=INDIRECT("F334"),AA334=0,AB334=0,AC334=0,AF334=0),"Yes",IF(AND(INDIRECT("H334")&lt;INDIRECT("F334"),AA334=0,AB334=0,AC334=0,AF334=0),"No","N/A"))</f>
        <v>N/A</v>
      </c>
      <c r="J334" s="174" t="str">
        <f t="shared" ca="1" si="14"/>
        <v>No Error</v>
      </c>
      <c r="K334" s="174"/>
      <c r="L334" s="174"/>
      <c r="AA334" s="61">
        <f ca="1">COUNTBLANK(INDIRECT("C334"))</f>
        <v>1</v>
      </c>
      <c r="AB334" s="61">
        <f ca="1">COUNTBLANK(INDIRECT("d334"))</f>
        <v>1</v>
      </c>
      <c r="AC334" s="61">
        <f ca="1">COUNTBLANK(INDIRECT("e334"))</f>
        <v>1</v>
      </c>
      <c r="AD334" s="61">
        <f ca="1">COUNTBLANK(INDIRECT("f334"))</f>
        <v>1</v>
      </c>
      <c r="AE334" s="61">
        <f ca="1">COUNTBLANK(INDIRECT("g334"))</f>
        <v>1</v>
      </c>
      <c r="AF334" s="61">
        <f ca="1">COUNTBLANK(INDIRECT("h334"))</f>
        <v>1</v>
      </c>
      <c r="AG334" s="61">
        <f ca="1">COUNTBLANK(INDIRECT("b334"))</f>
        <v>1</v>
      </c>
    </row>
    <row r="335" spans="1:33" x14ac:dyDescent="0.25">
      <c r="A335" s="2">
        <v>3</v>
      </c>
      <c r="B335" s="63"/>
      <c r="C335" s="56"/>
      <c r="D335" s="56"/>
      <c r="E335" s="56"/>
      <c r="F335" s="56"/>
      <c r="G335" s="56"/>
      <c r="H335" s="56"/>
      <c r="I335" s="117" t="str">
        <f ca="1">IF(AND(INDIRECT("H335")&gt;=INDIRECT("F335"),AA335=0,AB335=0,AC335=0,AF335=0),"Yes",IF(AND(INDIRECT("H335")&lt;INDIRECT("F335"),AA335=0,AB335=0,AC335=0,AF335=0),"No","N/A"))</f>
        <v>N/A</v>
      </c>
      <c r="J335" s="174" t="str">
        <f t="shared" ca="1" si="14"/>
        <v>No Error</v>
      </c>
      <c r="K335" s="174"/>
      <c r="L335" s="174"/>
      <c r="AA335" s="61">
        <f ca="1">COUNTBLANK(INDIRECT("C335"))</f>
        <v>1</v>
      </c>
      <c r="AB335" s="61">
        <f ca="1">COUNTBLANK(INDIRECT("d335"))</f>
        <v>1</v>
      </c>
      <c r="AC335" s="61">
        <f ca="1">COUNTBLANK(INDIRECT("e335"))</f>
        <v>1</v>
      </c>
      <c r="AD335" s="61">
        <f ca="1">COUNTBLANK(INDIRECT("f335"))</f>
        <v>1</v>
      </c>
      <c r="AE335" s="61">
        <f ca="1">COUNTBLANK(INDIRECT("g335"))</f>
        <v>1</v>
      </c>
      <c r="AF335" s="61">
        <f ca="1">COUNTBLANK(INDIRECT("h335"))</f>
        <v>1</v>
      </c>
      <c r="AG335" s="61">
        <f ca="1">COUNTBLANK(INDIRECT("b335"))</f>
        <v>1</v>
      </c>
    </row>
    <row r="336" spans="1:33" x14ac:dyDescent="0.25">
      <c r="A336" s="2">
        <v>4</v>
      </c>
      <c r="B336" s="63"/>
      <c r="C336" s="56"/>
      <c r="D336" s="56"/>
      <c r="E336" s="56"/>
      <c r="F336" s="56"/>
      <c r="G336" s="56"/>
      <c r="H336" s="56"/>
      <c r="I336" s="117" t="str">
        <f ca="1">IF(AND(INDIRECT("H336")&gt;=INDIRECT("F336"),AA336=0,AB336=0,AC336=0,AF336=0),"Yes",IF(AND(INDIRECT("H336")&lt;INDIRECT("F336"),AA336=0,AB336=0,AC336=0,AF336=0),"No","N/A"))</f>
        <v>N/A</v>
      </c>
      <c r="J336" s="174" t="str">
        <f t="shared" ca="1" si="14"/>
        <v>No Error</v>
      </c>
      <c r="K336" s="174"/>
      <c r="L336" s="174"/>
      <c r="AA336" s="61">
        <f ca="1">COUNTBLANK(INDIRECT("C336"))</f>
        <v>1</v>
      </c>
      <c r="AB336" s="61">
        <f ca="1">COUNTBLANK(INDIRECT("d336"))</f>
        <v>1</v>
      </c>
      <c r="AC336" s="61">
        <f ca="1">COUNTBLANK(INDIRECT("e336"))</f>
        <v>1</v>
      </c>
      <c r="AD336" s="61">
        <f ca="1">COUNTBLANK(INDIRECT("f336"))</f>
        <v>1</v>
      </c>
      <c r="AE336" s="61">
        <f ca="1">COUNTBLANK(INDIRECT("g336"))</f>
        <v>1</v>
      </c>
      <c r="AF336" s="61">
        <f ca="1">COUNTBLANK(INDIRECT("h336"))</f>
        <v>1</v>
      </c>
      <c r="AG336" s="61">
        <f ca="1">COUNTBLANK(INDIRECT("b336"))</f>
        <v>1</v>
      </c>
    </row>
    <row r="337" spans="1:33" x14ac:dyDescent="0.25">
      <c r="A337" s="2">
        <v>5</v>
      </c>
      <c r="B337" s="63"/>
      <c r="C337" s="56"/>
      <c r="D337" s="56"/>
      <c r="E337" s="56"/>
      <c r="F337" s="56"/>
      <c r="G337" s="56"/>
      <c r="H337" s="56"/>
      <c r="I337" s="117" t="str">
        <f ca="1">IF(AND(INDIRECT("H337")&gt;=INDIRECT("F337"),AA337=0,AB337=0,AC337=0,AF337=0),"Yes",IF(AND(INDIRECT("H337")&lt;INDIRECT("F337"),AA337=0,AB337=0,AC337=0,AF337=0),"No","N/A"))</f>
        <v>N/A</v>
      </c>
      <c r="J337" s="174" t="str">
        <f t="shared" ca="1" si="14"/>
        <v>No Error</v>
      </c>
      <c r="K337" s="174"/>
      <c r="L337" s="174"/>
      <c r="AA337" s="61">
        <f ca="1">COUNTBLANK(INDIRECT("C337"))</f>
        <v>1</v>
      </c>
      <c r="AB337" s="61">
        <f ca="1">COUNTBLANK(INDIRECT("d337"))</f>
        <v>1</v>
      </c>
      <c r="AC337" s="61">
        <f ca="1">COUNTBLANK(INDIRECT("e337"))</f>
        <v>1</v>
      </c>
      <c r="AD337" s="61">
        <f ca="1">COUNTBLANK(INDIRECT("f337"))</f>
        <v>1</v>
      </c>
      <c r="AE337" s="61">
        <f ca="1">COUNTBLANK(INDIRECT("g337"))</f>
        <v>1</v>
      </c>
      <c r="AF337" s="61">
        <f ca="1">COUNTBLANK(INDIRECT("h337"))</f>
        <v>1</v>
      </c>
      <c r="AG337" s="61">
        <f ca="1">COUNTBLANK(INDIRECT("b337"))</f>
        <v>1</v>
      </c>
    </row>
    <row r="338" spans="1:33" x14ac:dyDescent="0.25">
      <c r="A338" s="2">
        <v>6</v>
      </c>
      <c r="B338" s="63"/>
      <c r="C338" s="56"/>
      <c r="D338" s="56"/>
      <c r="E338" s="56"/>
      <c r="F338" s="56"/>
      <c r="G338" s="56"/>
      <c r="H338" s="56"/>
      <c r="I338" s="117" t="str">
        <f ca="1">IF(AND(INDIRECT("H338")&gt;=INDIRECT("F338"),AA338=0,AB338=0,AC338=0,AF338=0),"Yes",IF(AND(INDIRECT("H338")&lt;INDIRECT("F338"),AA338=0,AB338=0,AC338=0,AF338=0),"No","N/A"))</f>
        <v>N/A</v>
      </c>
      <c r="J338" s="174" t="str">
        <f t="shared" ca="1" si="14"/>
        <v>No Error</v>
      </c>
      <c r="K338" s="174"/>
      <c r="L338" s="174"/>
      <c r="AA338" s="61">
        <f ca="1">COUNTBLANK(INDIRECT("C338"))</f>
        <v>1</v>
      </c>
      <c r="AB338" s="61">
        <f ca="1">COUNTBLANK(INDIRECT("d338"))</f>
        <v>1</v>
      </c>
      <c r="AC338" s="61">
        <f ca="1">COUNTBLANK(INDIRECT("e338"))</f>
        <v>1</v>
      </c>
      <c r="AD338" s="61">
        <f ca="1">COUNTBLANK(INDIRECT("f338"))</f>
        <v>1</v>
      </c>
      <c r="AE338" s="61">
        <f ca="1">COUNTBLANK(INDIRECT("g338"))</f>
        <v>1</v>
      </c>
      <c r="AF338" s="61">
        <f ca="1">COUNTBLANK(INDIRECT("h338"))</f>
        <v>1</v>
      </c>
      <c r="AG338" s="61">
        <f ca="1">COUNTBLANK(INDIRECT("b338"))</f>
        <v>1</v>
      </c>
    </row>
    <row r="339" spans="1:33" x14ac:dyDescent="0.25">
      <c r="A339" s="2">
        <v>7</v>
      </c>
      <c r="B339" s="63"/>
      <c r="C339" s="56"/>
      <c r="D339" s="56"/>
      <c r="E339" s="56"/>
      <c r="F339" s="56"/>
      <c r="G339" s="56"/>
      <c r="H339" s="56"/>
      <c r="I339" s="117" t="str">
        <f ca="1">IF(AND(INDIRECT("H339")&gt;=INDIRECT("F339"),AA339=0,AB339=0,AC339=0,AF339=0),"Yes",IF(AND(INDIRECT("H339")&lt;INDIRECT("F339"),AA339=0,AB339=0,AC339=0,AF339=0),"No","N/A"))</f>
        <v>N/A</v>
      </c>
      <c r="J339" s="174" t="str">
        <f t="shared" ca="1" si="14"/>
        <v>No Error</v>
      </c>
      <c r="K339" s="174"/>
      <c r="L339" s="174"/>
      <c r="AA339" s="61">
        <f ca="1">COUNTBLANK(INDIRECT("C339"))</f>
        <v>1</v>
      </c>
      <c r="AB339" s="61">
        <f ca="1">COUNTBLANK(INDIRECT("d339"))</f>
        <v>1</v>
      </c>
      <c r="AC339" s="61">
        <f ca="1">COUNTBLANK(INDIRECT("e339"))</f>
        <v>1</v>
      </c>
      <c r="AD339" s="61">
        <f ca="1">COUNTBLANK(INDIRECT("f339"))</f>
        <v>1</v>
      </c>
      <c r="AE339" s="61">
        <f ca="1">COUNTBLANK(INDIRECT("g339"))</f>
        <v>1</v>
      </c>
      <c r="AF339" s="61">
        <f ca="1">COUNTBLANK(INDIRECT("h339"))</f>
        <v>1</v>
      </c>
      <c r="AG339" s="61">
        <f ca="1">COUNTBLANK(INDIRECT("b339"))</f>
        <v>1</v>
      </c>
    </row>
    <row r="340" spans="1:33" x14ac:dyDescent="0.25">
      <c r="A340" s="2">
        <v>8</v>
      </c>
      <c r="B340" s="63"/>
      <c r="C340" s="56"/>
      <c r="D340" s="56"/>
      <c r="E340" s="56"/>
      <c r="F340" s="56"/>
      <c r="G340" s="56"/>
      <c r="H340" s="56"/>
      <c r="I340" s="117" t="str">
        <f ca="1">IF(AND(INDIRECT("H340")&gt;=INDIRECT("F340"),AA340=0,AB340=0,AC340=0,AF340=0),"Yes",IF(AND(INDIRECT("H340")&lt;INDIRECT("F340"),AA340=0,AB340=0,AC340=0,AF340=0),"No","N/A"))</f>
        <v>N/A</v>
      </c>
      <c r="J340" s="174" t="str">
        <f t="shared" ca="1" si="14"/>
        <v>No Error</v>
      </c>
      <c r="K340" s="174"/>
      <c r="L340" s="174"/>
      <c r="AA340" s="61">
        <f ca="1">COUNTBLANK(INDIRECT("C340"))</f>
        <v>1</v>
      </c>
      <c r="AB340" s="61">
        <f ca="1">COUNTBLANK(INDIRECT("d340"))</f>
        <v>1</v>
      </c>
      <c r="AC340" s="61">
        <f ca="1">COUNTBLANK(INDIRECT("e340"))</f>
        <v>1</v>
      </c>
      <c r="AD340" s="61">
        <f ca="1">COUNTBLANK(INDIRECT("f340"))</f>
        <v>1</v>
      </c>
      <c r="AE340" s="61">
        <f ca="1">COUNTBLANK(INDIRECT("g340"))</f>
        <v>1</v>
      </c>
      <c r="AF340" s="61">
        <f ca="1">COUNTBLANK(INDIRECT("h340"))</f>
        <v>1</v>
      </c>
      <c r="AG340" s="61">
        <f ca="1">COUNTBLANK(INDIRECT("b340"))</f>
        <v>1</v>
      </c>
    </row>
    <row r="341" spans="1:33" x14ac:dyDescent="0.25">
      <c r="A341" s="2">
        <v>9</v>
      </c>
      <c r="B341" s="63"/>
      <c r="C341" s="56"/>
      <c r="D341" s="56"/>
      <c r="E341" s="56"/>
      <c r="F341" s="56"/>
      <c r="G341" s="56"/>
      <c r="H341" s="56"/>
      <c r="I341" s="117" t="str">
        <f ca="1">IF(AND(INDIRECT("H341")&gt;=INDIRECT("F341"),AA341=0,AB341=0,AC341=0,AF341=0),"Yes",IF(AND(INDIRECT("H341")&lt;INDIRECT("F341"),AA341=0,AB341=0,AC341=0,AF341=0),"No","N/A"))</f>
        <v>N/A</v>
      </c>
      <c r="J341" s="174" t="str">
        <f t="shared" ca="1" si="14"/>
        <v>No Error</v>
      </c>
      <c r="K341" s="174"/>
      <c r="L341" s="174"/>
      <c r="AA341" s="61">
        <f ca="1">COUNTBLANK(INDIRECT("C341"))</f>
        <v>1</v>
      </c>
      <c r="AB341" s="61">
        <f ca="1">COUNTBLANK(INDIRECT("d341"))</f>
        <v>1</v>
      </c>
      <c r="AC341" s="61">
        <f ca="1">COUNTBLANK(INDIRECT("e341"))</f>
        <v>1</v>
      </c>
      <c r="AD341" s="61">
        <f ca="1">COUNTBLANK(INDIRECT("f341"))</f>
        <v>1</v>
      </c>
      <c r="AE341" s="61">
        <f ca="1">COUNTBLANK(INDIRECT("g341"))</f>
        <v>1</v>
      </c>
      <c r="AF341" s="61">
        <f ca="1">COUNTBLANK(INDIRECT("h341"))</f>
        <v>1</v>
      </c>
      <c r="AG341" s="61">
        <f ca="1">COUNTBLANK(INDIRECT("b341"))</f>
        <v>1</v>
      </c>
    </row>
    <row r="342" spans="1:33" x14ac:dyDescent="0.25">
      <c r="A342" s="2">
        <v>10</v>
      </c>
      <c r="B342" s="63"/>
      <c r="C342" s="56"/>
      <c r="D342" s="56"/>
      <c r="E342" s="56"/>
      <c r="F342" s="56"/>
      <c r="G342" s="56"/>
      <c r="H342" s="56"/>
      <c r="I342" s="117" t="str">
        <f ca="1">IF(AND(INDIRECT("H342")&gt;=INDIRECT("F342"),AA342=0,AB342=0,AC342=0,AF342=0),"Yes",IF(AND(INDIRECT("H342")&lt;INDIRECT("F342"),AA342=0,AB342=0,AC342=0,AF342=0),"No","N/A"))</f>
        <v>N/A</v>
      </c>
      <c r="J342" s="174" t="str">
        <f t="shared" ca="1" si="14"/>
        <v>No Error</v>
      </c>
      <c r="K342" s="174"/>
      <c r="L342" s="174"/>
      <c r="AA342" s="61">
        <f ca="1">COUNTBLANK(INDIRECT("C342"))</f>
        <v>1</v>
      </c>
      <c r="AB342" s="61">
        <f ca="1">COUNTBLANK(INDIRECT("d342"))</f>
        <v>1</v>
      </c>
      <c r="AC342" s="61">
        <f ca="1">COUNTBLANK(INDIRECT("e342"))</f>
        <v>1</v>
      </c>
      <c r="AD342" s="61">
        <f ca="1">COUNTBLANK(INDIRECT("f342"))</f>
        <v>1</v>
      </c>
      <c r="AE342" s="61">
        <f ca="1">COUNTBLANK(INDIRECT("g342"))</f>
        <v>1</v>
      </c>
      <c r="AF342" s="61">
        <f ca="1">COUNTBLANK(INDIRECT("h342"))</f>
        <v>1</v>
      </c>
      <c r="AG342" s="61">
        <f ca="1">COUNTBLANK(INDIRECT("b342"))</f>
        <v>1</v>
      </c>
    </row>
    <row r="343" spans="1:33" x14ac:dyDescent="0.25">
      <c r="A343" s="2">
        <v>11</v>
      </c>
      <c r="B343" s="63"/>
      <c r="C343" s="56"/>
      <c r="D343" s="56"/>
      <c r="E343" s="56"/>
      <c r="F343" s="56"/>
      <c r="G343" s="56"/>
      <c r="H343" s="56"/>
      <c r="I343" s="117" t="str">
        <f ca="1">IF(AND(INDIRECT("H343")&gt;=INDIRECT("F343"),AA343=0,AB343=0,AC343=0,AF343=0),"Yes",IF(AND(INDIRECT("H343")&lt;INDIRECT("F343"),AA343=0,AB343=0,AC343=0,AF343=0),"No","N/A"))</f>
        <v>N/A</v>
      </c>
      <c r="J343" s="174" t="str">
        <f t="shared" ca="1" si="14"/>
        <v>No Error</v>
      </c>
      <c r="K343" s="174"/>
      <c r="L343" s="174"/>
      <c r="AA343" s="61">
        <f ca="1">COUNTBLANK(INDIRECT("C343"))</f>
        <v>1</v>
      </c>
      <c r="AB343" s="61">
        <f ca="1">COUNTBLANK(INDIRECT("d343"))</f>
        <v>1</v>
      </c>
      <c r="AC343" s="61">
        <f ca="1">COUNTBLANK(INDIRECT("e343"))</f>
        <v>1</v>
      </c>
      <c r="AD343" s="61">
        <f ca="1">COUNTBLANK(INDIRECT("f343"))</f>
        <v>1</v>
      </c>
      <c r="AE343" s="61">
        <f ca="1">COUNTBLANK(INDIRECT("g343"))</f>
        <v>1</v>
      </c>
      <c r="AF343" s="61">
        <f ca="1">COUNTBLANK(INDIRECT("h343"))</f>
        <v>1</v>
      </c>
      <c r="AG343" s="61">
        <f ca="1">COUNTBLANK(INDIRECT("b343"))</f>
        <v>1</v>
      </c>
    </row>
    <row r="344" spans="1:33" x14ac:dyDescent="0.25">
      <c r="A344" s="2">
        <v>12</v>
      </c>
      <c r="B344" s="63"/>
      <c r="C344" s="56"/>
      <c r="D344" s="56"/>
      <c r="E344" s="56"/>
      <c r="F344" s="56"/>
      <c r="G344" s="56"/>
      <c r="H344" s="56"/>
      <c r="I344" s="117" t="str">
        <f ca="1">IF(AND(INDIRECT("H344")&gt;=INDIRECT("F344"),AA344=0,AB344=0,AC344=0,AF344=0),"Yes",IF(AND(INDIRECT("H344")&lt;INDIRECT("F344"),AA344=0,AB344=0,AC344=0,AF344=0),"No","N/A"))</f>
        <v>N/A</v>
      </c>
      <c r="J344" s="174" t="str">
        <f t="shared" ca="1" si="14"/>
        <v>No Error</v>
      </c>
      <c r="K344" s="174"/>
      <c r="L344" s="174"/>
      <c r="AA344" s="61">
        <f ca="1">COUNTBLANK(INDIRECT("C344"))</f>
        <v>1</v>
      </c>
      <c r="AB344" s="61">
        <f ca="1">COUNTBLANK(INDIRECT("d344"))</f>
        <v>1</v>
      </c>
      <c r="AC344" s="61">
        <f ca="1">COUNTBLANK(INDIRECT("e344"))</f>
        <v>1</v>
      </c>
      <c r="AD344" s="61">
        <f ca="1">COUNTBLANK(INDIRECT("f344"))</f>
        <v>1</v>
      </c>
      <c r="AE344" s="61">
        <f ca="1">COUNTBLANK(INDIRECT("g344"))</f>
        <v>1</v>
      </c>
      <c r="AF344" s="61">
        <f ca="1">COUNTBLANK(INDIRECT("h344"))</f>
        <v>1</v>
      </c>
      <c r="AG344" s="61">
        <f ca="1">COUNTBLANK(INDIRECT("b344"))</f>
        <v>1</v>
      </c>
    </row>
    <row r="345" spans="1:33" x14ac:dyDescent="0.25">
      <c r="A345" s="2">
        <v>13</v>
      </c>
      <c r="B345" s="63"/>
      <c r="C345" s="56"/>
      <c r="D345" s="56"/>
      <c r="E345" s="56"/>
      <c r="F345" s="56"/>
      <c r="G345" s="56"/>
      <c r="H345" s="56"/>
      <c r="I345" s="117" t="str">
        <f ca="1">IF(AND(INDIRECT("H345")&gt;=INDIRECT("F345"),AA345=0,AB345=0,AC345=0,AF345=0),"Yes",IF(AND(INDIRECT("H345")&lt;INDIRECT("F345"),AA345=0,AB345=0,AC345=0,AF345=0),"No","N/A"))</f>
        <v>N/A</v>
      </c>
      <c r="J345" s="174" t="str">
        <f t="shared" ca="1" si="14"/>
        <v>No Error</v>
      </c>
      <c r="K345" s="174"/>
      <c r="L345" s="174"/>
      <c r="AA345" s="61">
        <f ca="1">COUNTBLANK(INDIRECT("C345"))</f>
        <v>1</v>
      </c>
      <c r="AB345" s="61">
        <f ca="1">COUNTBLANK(INDIRECT("d345"))</f>
        <v>1</v>
      </c>
      <c r="AC345" s="61">
        <f ca="1">COUNTBLANK(INDIRECT("e345"))</f>
        <v>1</v>
      </c>
      <c r="AD345" s="61">
        <f ca="1">COUNTBLANK(INDIRECT("f345"))</f>
        <v>1</v>
      </c>
      <c r="AE345" s="61">
        <f ca="1">COUNTBLANK(INDIRECT("g345"))</f>
        <v>1</v>
      </c>
      <c r="AF345" s="61">
        <f ca="1">COUNTBLANK(INDIRECT("h345"))</f>
        <v>1</v>
      </c>
      <c r="AG345" s="61">
        <f ca="1">COUNTBLANK(INDIRECT("b345"))</f>
        <v>1</v>
      </c>
    </row>
    <row r="346" spans="1:33" x14ac:dyDescent="0.25">
      <c r="A346" s="2">
        <v>14</v>
      </c>
      <c r="B346" s="63"/>
      <c r="C346" s="56"/>
      <c r="D346" s="56"/>
      <c r="E346" s="56"/>
      <c r="F346" s="56"/>
      <c r="G346" s="56"/>
      <c r="H346" s="56"/>
      <c r="I346" s="117" t="str">
        <f ca="1">IF(AND(INDIRECT("H346")&gt;=INDIRECT("F346"),AA346=0,AB346=0,AC346=0,AF346=0),"Yes",IF(AND(INDIRECT("H346")&lt;INDIRECT("F346"),AA346=0,AB346=0,AC346=0,AF346=0),"No","N/A"))</f>
        <v>N/A</v>
      </c>
      <c r="J346" s="174" t="str">
        <f t="shared" ca="1" si="14"/>
        <v>No Error</v>
      </c>
      <c r="K346" s="174"/>
      <c r="L346" s="174"/>
      <c r="AA346" s="61">
        <f ca="1">COUNTBLANK(INDIRECT("C346"))</f>
        <v>1</v>
      </c>
      <c r="AB346" s="61">
        <f ca="1">COUNTBLANK(INDIRECT("d346"))</f>
        <v>1</v>
      </c>
      <c r="AC346" s="61">
        <f ca="1">COUNTBLANK(INDIRECT("e346"))</f>
        <v>1</v>
      </c>
      <c r="AD346" s="61">
        <f ca="1">COUNTBLANK(INDIRECT("f346"))</f>
        <v>1</v>
      </c>
      <c r="AE346" s="61">
        <f ca="1">COUNTBLANK(INDIRECT("g346"))</f>
        <v>1</v>
      </c>
      <c r="AF346" s="61">
        <f ca="1">COUNTBLANK(INDIRECT("h346"))</f>
        <v>1</v>
      </c>
      <c r="AG346" s="61">
        <f ca="1">COUNTBLANK(INDIRECT("b346"))</f>
        <v>1</v>
      </c>
    </row>
    <row r="347" spans="1:33" x14ac:dyDescent="0.25">
      <c r="A347" s="2">
        <v>15</v>
      </c>
      <c r="B347" s="63"/>
      <c r="C347" s="56"/>
      <c r="D347" s="56"/>
      <c r="E347" s="56"/>
      <c r="F347" s="56"/>
      <c r="G347" s="56"/>
      <c r="H347" s="56"/>
      <c r="I347" s="117" t="str">
        <f ca="1">IF(AND(INDIRECT("H347")&gt;=INDIRECT("F347"),AA347=0,AB347=0,AC347=0,AF347=0),"Yes",IF(AND(INDIRECT("H347")&lt;INDIRECT("F347"),AA347=0,AB347=0,AC347=0,AF347=0),"No","N/A"))</f>
        <v>N/A</v>
      </c>
      <c r="J347" s="174" t="str">
        <f t="shared" ca="1" si="14"/>
        <v>No Error</v>
      </c>
      <c r="K347" s="174"/>
      <c r="L347" s="174"/>
      <c r="AA347" s="61">
        <f ca="1">COUNTBLANK(INDIRECT("C347"))</f>
        <v>1</v>
      </c>
      <c r="AB347" s="61">
        <f ca="1">COUNTBLANK(INDIRECT("d347"))</f>
        <v>1</v>
      </c>
      <c r="AC347" s="61">
        <f ca="1">COUNTBLANK(INDIRECT("e347"))</f>
        <v>1</v>
      </c>
      <c r="AD347" s="61">
        <f ca="1">COUNTBLANK(INDIRECT("f347"))</f>
        <v>1</v>
      </c>
      <c r="AE347" s="61">
        <f ca="1">COUNTBLANK(INDIRECT("g347"))</f>
        <v>1</v>
      </c>
      <c r="AF347" s="61">
        <f ca="1">COUNTBLANK(INDIRECT("h347"))</f>
        <v>1</v>
      </c>
      <c r="AG347" s="61">
        <f ca="1">COUNTBLANK(INDIRECT("b347"))</f>
        <v>1</v>
      </c>
    </row>
    <row r="348" spans="1:33" x14ac:dyDescent="0.25">
      <c r="A348" s="2">
        <v>16</v>
      </c>
      <c r="B348" s="63"/>
      <c r="C348" s="56"/>
      <c r="D348" s="56"/>
      <c r="E348" s="56"/>
      <c r="F348" s="56"/>
      <c r="G348" s="56"/>
      <c r="H348" s="56"/>
      <c r="I348" s="117" t="str">
        <f ca="1">IF(AND(INDIRECT("H348")&gt;=INDIRECT("F348"),AA348=0,AB348=0,AC348=0,AF348=0),"Yes",IF(AND(INDIRECT("H348")&lt;INDIRECT("F348"),AA348=0,AB348=0,AC348=0,AF348=0),"No","N/A"))</f>
        <v>N/A</v>
      </c>
      <c r="J348" s="174" t="str">
        <f t="shared" ca="1" si="14"/>
        <v>No Error</v>
      </c>
      <c r="K348" s="174"/>
      <c r="L348" s="174"/>
      <c r="AA348" s="61">
        <f ca="1">COUNTBLANK(INDIRECT("C348"))</f>
        <v>1</v>
      </c>
      <c r="AB348" s="61">
        <f ca="1">COUNTBLANK(INDIRECT("d348"))</f>
        <v>1</v>
      </c>
      <c r="AC348" s="61">
        <f ca="1">COUNTBLANK(INDIRECT("e348"))</f>
        <v>1</v>
      </c>
      <c r="AD348" s="61">
        <f ca="1">COUNTBLANK(INDIRECT("f348"))</f>
        <v>1</v>
      </c>
      <c r="AE348" s="61">
        <f ca="1">COUNTBLANK(INDIRECT("g348"))</f>
        <v>1</v>
      </c>
      <c r="AF348" s="61">
        <f ca="1">COUNTBLANK(INDIRECT("h348"))</f>
        <v>1</v>
      </c>
      <c r="AG348" s="61">
        <f ca="1">COUNTBLANK(INDIRECT("b348"))</f>
        <v>1</v>
      </c>
    </row>
    <row r="349" spans="1:33" x14ac:dyDescent="0.25">
      <c r="A349" s="2">
        <v>17</v>
      </c>
      <c r="B349" s="63"/>
      <c r="C349" s="56"/>
      <c r="D349" s="56"/>
      <c r="E349" s="56"/>
      <c r="F349" s="56"/>
      <c r="G349" s="56"/>
      <c r="H349" s="56"/>
      <c r="I349" s="117" t="str">
        <f ca="1">IF(AND(INDIRECT("H349")&gt;=INDIRECT("F349"),AA349=0,AB349=0,AC349=0,AF349=0),"Yes",IF(AND(INDIRECT("H349")&lt;INDIRECT("F349"),AA349=0,AB349=0,AC349=0,AF349=0),"No","N/A"))</f>
        <v>N/A</v>
      </c>
      <c r="J349" s="174" t="str">
        <f t="shared" ca="1" si="14"/>
        <v>No Error</v>
      </c>
      <c r="K349" s="174"/>
      <c r="L349" s="174"/>
      <c r="AA349" s="61">
        <f ca="1">COUNTBLANK(INDIRECT("C349"))</f>
        <v>1</v>
      </c>
      <c r="AB349" s="61">
        <f ca="1">COUNTBLANK(INDIRECT("d349"))</f>
        <v>1</v>
      </c>
      <c r="AC349" s="61">
        <f ca="1">COUNTBLANK(INDIRECT("e349"))</f>
        <v>1</v>
      </c>
      <c r="AD349" s="61">
        <f ca="1">COUNTBLANK(INDIRECT("f349"))</f>
        <v>1</v>
      </c>
      <c r="AE349" s="61">
        <f ca="1">COUNTBLANK(INDIRECT("g349"))</f>
        <v>1</v>
      </c>
      <c r="AF349" s="61">
        <f ca="1">COUNTBLANK(INDIRECT("h349"))</f>
        <v>1</v>
      </c>
      <c r="AG349" s="61">
        <f ca="1">COUNTBLANK(INDIRECT("b349"))</f>
        <v>1</v>
      </c>
    </row>
    <row r="350" spans="1:33" x14ac:dyDescent="0.25">
      <c r="A350" s="2">
        <v>18</v>
      </c>
      <c r="B350" s="63"/>
      <c r="C350" s="56"/>
      <c r="D350" s="56"/>
      <c r="E350" s="56"/>
      <c r="F350" s="56"/>
      <c r="G350" s="56"/>
      <c r="H350" s="56"/>
      <c r="I350" s="117" t="str">
        <f ca="1">IF(AND(INDIRECT("H350")&gt;=INDIRECT("F350"),AA350=0,AB350=0,AC350=0,AF350=0),"Yes",IF(AND(INDIRECT("H350")&lt;INDIRECT("F350"),AA350=0,AB350=0,AC350=0,AF350=0),"No","N/A"))</f>
        <v>N/A</v>
      </c>
      <c r="J350" s="174" t="str">
        <f t="shared" ca="1" si="14"/>
        <v>No Error</v>
      </c>
      <c r="K350" s="174"/>
      <c r="L350" s="174"/>
      <c r="AA350" s="61">
        <f ca="1">COUNTBLANK(INDIRECT("C350"))</f>
        <v>1</v>
      </c>
      <c r="AB350" s="61">
        <f ca="1">COUNTBLANK(INDIRECT("d350"))</f>
        <v>1</v>
      </c>
      <c r="AC350" s="61">
        <f ca="1">COUNTBLANK(INDIRECT("e350"))</f>
        <v>1</v>
      </c>
      <c r="AD350" s="61">
        <f ca="1">COUNTBLANK(INDIRECT("f350"))</f>
        <v>1</v>
      </c>
      <c r="AE350" s="61">
        <f ca="1">COUNTBLANK(INDIRECT("g350"))</f>
        <v>1</v>
      </c>
      <c r="AF350" s="61">
        <f ca="1">COUNTBLANK(INDIRECT("h350"))</f>
        <v>1</v>
      </c>
      <c r="AG350" s="61">
        <f ca="1">COUNTBLANK(INDIRECT("b350"))</f>
        <v>1</v>
      </c>
    </row>
    <row r="351" spans="1:33" x14ac:dyDescent="0.25">
      <c r="A351" s="2">
        <v>19</v>
      </c>
      <c r="B351" s="63"/>
      <c r="C351" s="56"/>
      <c r="D351" s="56"/>
      <c r="E351" s="56"/>
      <c r="F351" s="56"/>
      <c r="G351" s="56"/>
      <c r="H351" s="56"/>
      <c r="I351" s="117" t="str">
        <f ca="1">IF(AND(INDIRECT("H351")&gt;=INDIRECT("F351"),AA351=0,AB351=0,AC351=0,AF351=0),"Yes",IF(AND(INDIRECT("H351")&lt;INDIRECT("F351"),AA351=0,AB351=0,AC351=0,AF351=0),"No","N/A"))</f>
        <v>N/A</v>
      </c>
      <c r="J351" s="174" t="str">
        <f t="shared" ca="1" si="14"/>
        <v>No Error</v>
      </c>
      <c r="K351" s="174"/>
      <c r="L351" s="174"/>
      <c r="AA351" s="61">
        <f ca="1">COUNTBLANK(INDIRECT("C351"))</f>
        <v>1</v>
      </c>
      <c r="AB351" s="61">
        <f ca="1">COUNTBLANK(INDIRECT("d351"))</f>
        <v>1</v>
      </c>
      <c r="AC351" s="61">
        <f ca="1">COUNTBLANK(INDIRECT("e351"))</f>
        <v>1</v>
      </c>
      <c r="AD351" s="61">
        <f ca="1">COUNTBLANK(INDIRECT("f351"))</f>
        <v>1</v>
      </c>
      <c r="AE351" s="61">
        <f ca="1">COUNTBLANK(INDIRECT("g351"))</f>
        <v>1</v>
      </c>
      <c r="AF351" s="61">
        <f ca="1">COUNTBLANK(INDIRECT("h351"))</f>
        <v>1</v>
      </c>
      <c r="AG351" s="61">
        <f ca="1">COUNTBLANK(INDIRECT("b351"))</f>
        <v>1</v>
      </c>
    </row>
    <row r="352" spans="1:33" x14ac:dyDescent="0.25">
      <c r="A352" s="2">
        <v>20</v>
      </c>
      <c r="B352" s="63"/>
      <c r="C352" s="56"/>
      <c r="D352" s="56"/>
      <c r="E352" s="56"/>
      <c r="F352" s="56"/>
      <c r="G352" s="56"/>
      <c r="H352" s="56"/>
      <c r="I352" s="117" t="str">
        <f ca="1">IF(AND(INDIRECT("H352")&gt;=INDIRECT("F352"),AA352=0,AB352=0,AC352=0,AF352=0),"Yes",IF(AND(INDIRECT("H352")&lt;INDIRECT("F352"),AA352=0,AB352=0,AC352=0,AF352=0),"No","N/A"))</f>
        <v>N/A</v>
      </c>
      <c r="J352" s="174" t="str">
        <f t="shared" ca="1" si="14"/>
        <v>No Error</v>
      </c>
      <c r="K352" s="174"/>
      <c r="L352" s="174"/>
      <c r="AA352" s="61">
        <f ca="1">COUNTBLANK(INDIRECT("C352"))</f>
        <v>1</v>
      </c>
      <c r="AB352" s="61">
        <f ca="1">COUNTBLANK(INDIRECT("d352"))</f>
        <v>1</v>
      </c>
      <c r="AC352" s="61">
        <f ca="1">COUNTBLANK(INDIRECT("e352"))</f>
        <v>1</v>
      </c>
      <c r="AD352" s="61">
        <f ca="1">COUNTBLANK(INDIRECT("f352"))</f>
        <v>1</v>
      </c>
      <c r="AE352" s="61">
        <f ca="1">COUNTBLANK(INDIRECT("g352"))</f>
        <v>1</v>
      </c>
      <c r="AF352" s="61">
        <f ca="1">COUNTBLANK(INDIRECT("h352"))</f>
        <v>1</v>
      </c>
      <c r="AG352" s="61">
        <f ca="1">COUNTBLANK(INDIRECT("b352"))</f>
        <v>1</v>
      </c>
    </row>
    <row r="353" spans="1:33" x14ac:dyDescent="0.25">
      <c r="A353" s="2">
        <v>21</v>
      </c>
      <c r="B353" s="63"/>
      <c r="C353" s="56"/>
      <c r="D353" s="56"/>
      <c r="E353" s="56"/>
      <c r="F353" s="56"/>
      <c r="G353" s="56"/>
      <c r="H353" s="56"/>
      <c r="I353" s="117" t="str">
        <f ca="1">IF(AND(INDIRECT("H353")&gt;=INDIRECT("F353"),AA353=0,AB353=0,AC353=0,AF353=0),"Yes",IF(AND(INDIRECT("H353")&lt;INDIRECT("F353"),AA353=0,AB353=0,AC353=0,AF353=0),"No","N/A"))</f>
        <v>N/A</v>
      </c>
      <c r="J353" s="174" t="str">
        <f t="shared" ca="1" si="14"/>
        <v>No Error</v>
      </c>
      <c r="K353" s="174"/>
      <c r="L353" s="174"/>
      <c r="AA353" s="61">
        <f ca="1">COUNTBLANK(INDIRECT("C353"))</f>
        <v>1</v>
      </c>
      <c r="AB353" s="61">
        <f ca="1">COUNTBLANK(INDIRECT("d353"))</f>
        <v>1</v>
      </c>
      <c r="AC353" s="61">
        <f ca="1">COUNTBLANK(INDIRECT("e353"))</f>
        <v>1</v>
      </c>
      <c r="AD353" s="61">
        <f ca="1">COUNTBLANK(INDIRECT("f353"))</f>
        <v>1</v>
      </c>
      <c r="AE353" s="61">
        <f ca="1">COUNTBLANK(INDIRECT("g353"))</f>
        <v>1</v>
      </c>
      <c r="AF353" s="61">
        <f ca="1">COUNTBLANK(INDIRECT("h353"))</f>
        <v>1</v>
      </c>
      <c r="AG353" s="61">
        <f ca="1">COUNTBLANK(INDIRECT("b353"))</f>
        <v>1</v>
      </c>
    </row>
    <row r="354" spans="1:33" x14ac:dyDescent="0.25">
      <c r="A354" s="2">
        <v>22</v>
      </c>
      <c r="B354" s="63"/>
      <c r="C354" s="56"/>
      <c r="D354" s="56"/>
      <c r="E354" s="56"/>
      <c r="F354" s="56"/>
      <c r="G354" s="56"/>
      <c r="H354" s="56"/>
      <c r="I354" s="117" t="str">
        <f ca="1">IF(AND(INDIRECT("H354")&gt;=INDIRECT("F354"),AA354=0,AB354=0,AC354=0,AF354=0),"Yes",IF(AND(INDIRECT("H354")&lt;INDIRECT("F354"),AA354=0,AB354=0,AC354=0,AF354=0),"No","N/A"))</f>
        <v>N/A</v>
      </c>
      <c r="J354" s="174" t="str">
        <f t="shared" ca="1" si="14"/>
        <v>No Error</v>
      </c>
      <c r="K354" s="174"/>
      <c r="L354" s="174"/>
      <c r="AA354" s="61">
        <f ca="1">COUNTBLANK(INDIRECT("C354"))</f>
        <v>1</v>
      </c>
      <c r="AB354" s="61">
        <f ca="1">COUNTBLANK(INDIRECT("d354"))</f>
        <v>1</v>
      </c>
      <c r="AC354" s="61">
        <f ca="1">COUNTBLANK(INDIRECT("e354"))</f>
        <v>1</v>
      </c>
      <c r="AD354" s="61">
        <f ca="1">COUNTBLANK(INDIRECT("f354"))</f>
        <v>1</v>
      </c>
      <c r="AE354" s="61">
        <f ca="1">COUNTBLANK(INDIRECT("g354"))</f>
        <v>1</v>
      </c>
      <c r="AF354" s="61">
        <f ca="1">COUNTBLANK(INDIRECT("h354"))</f>
        <v>1</v>
      </c>
      <c r="AG354" s="61">
        <f ca="1">COUNTBLANK(INDIRECT("b354"))</f>
        <v>1</v>
      </c>
    </row>
    <row r="355" spans="1:33" x14ac:dyDescent="0.25">
      <c r="A355" s="2">
        <v>23</v>
      </c>
      <c r="B355" s="63"/>
      <c r="C355" s="56"/>
      <c r="D355" s="56"/>
      <c r="E355" s="56"/>
      <c r="F355" s="56"/>
      <c r="G355" s="56"/>
      <c r="H355" s="56"/>
      <c r="I355" s="117" t="str">
        <f ca="1">IF(AND(INDIRECT("H355")&gt;=INDIRECT("F355"),AA355=0,AB355=0,AC355=0,AF355=0),"Yes",IF(AND(INDIRECT("H355")&lt;INDIRECT("F355"),AA355=0,AB355=0,AC355=0,AF355=0),"No","N/A"))</f>
        <v>N/A</v>
      </c>
      <c r="J355" s="174" t="str">
        <f t="shared" ca="1" si="14"/>
        <v>No Error</v>
      </c>
      <c r="K355" s="174"/>
      <c r="L355" s="174"/>
      <c r="AA355" s="61">
        <f ca="1">COUNTBLANK(INDIRECT("C355"))</f>
        <v>1</v>
      </c>
      <c r="AB355" s="61">
        <f ca="1">COUNTBLANK(INDIRECT("d355"))</f>
        <v>1</v>
      </c>
      <c r="AC355" s="61">
        <f ca="1">COUNTBLANK(INDIRECT("e355"))</f>
        <v>1</v>
      </c>
      <c r="AD355" s="61">
        <f ca="1">COUNTBLANK(INDIRECT("f355"))</f>
        <v>1</v>
      </c>
      <c r="AE355" s="61">
        <f ca="1">COUNTBLANK(INDIRECT("g355"))</f>
        <v>1</v>
      </c>
      <c r="AF355" s="61">
        <f ca="1">COUNTBLANK(INDIRECT("h355"))</f>
        <v>1</v>
      </c>
      <c r="AG355" s="61">
        <f ca="1">COUNTBLANK(INDIRECT("b355"))</f>
        <v>1</v>
      </c>
    </row>
    <row r="356" spans="1:33" x14ac:dyDescent="0.25">
      <c r="A356" s="2">
        <v>24</v>
      </c>
      <c r="B356" s="63"/>
      <c r="C356" s="56"/>
      <c r="D356" s="56"/>
      <c r="E356" s="56"/>
      <c r="F356" s="56"/>
      <c r="G356" s="56"/>
      <c r="H356" s="56"/>
      <c r="I356" s="117" t="str">
        <f ca="1">IF(AND(INDIRECT("H356")&gt;=INDIRECT("F356"),AA356=0,AB356=0,AC356=0,AF356=0),"Yes",IF(AND(INDIRECT("H356")&lt;INDIRECT("F356"),AA356=0,AB356=0,AC356=0,AF356=0),"No","N/A"))</f>
        <v>N/A</v>
      </c>
      <c r="J356" s="174" t="str">
        <f t="shared" ca="1" si="14"/>
        <v>No Error</v>
      </c>
      <c r="K356" s="174"/>
      <c r="L356" s="174"/>
      <c r="AA356" s="61">
        <f ca="1">COUNTBLANK(INDIRECT("C356"))</f>
        <v>1</v>
      </c>
      <c r="AB356" s="61">
        <f ca="1">COUNTBLANK(INDIRECT("d356"))</f>
        <v>1</v>
      </c>
      <c r="AC356" s="61">
        <f ca="1">COUNTBLANK(INDIRECT("e356"))</f>
        <v>1</v>
      </c>
      <c r="AD356" s="61">
        <f ca="1">COUNTBLANK(INDIRECT("f356"))</f>
        <v>1</v>
      </c>
      <c r="AE356" s="61">
        <f ca="1">COUNTBLANK(INDIRECT("g356"))</f>
        <v>1</v>
      </c>
      <c r="AF356" s="61">
        <f ca="1">COUNTBLANK(INDIRECT("h356"))</f>
        <v>1</v>
      </c>
      <c r="AG356" s="61">
        <f ca="1">COUNTBLANK(INDIRECT("b356"))</f>
        <v>1</v>
      </c>
    </row>
    <row r="357" spans="1:33" x14ac:dyDescent="0.25">
      <c r="A357" s="2">
        <v>25</v>
      </c>
      <c r="B357" s="63"/>
      <c r="C357" s="56"/>
      <c r="D357" s="56"/>
      <c r="E357" s="56"/>
      <c r="F357" s="56"/>
      <c r="G357" s="56"/>
      <c r="H357" s="56"/>
      <c r="I357" s="117" t="str">
        <f ca="1">IF(AND(INDIRECT("H357")&gt;=INDIRECT("F357"),AA357=0,AB357=0,AC357=0,AF357=0),"Yes",IF(AND(INDIRECT("H357")&lt;INDIRECT("F357"),AA357=0,AB357=0,AC357=0,AF357=0),"No","N/A"))</f>
        <v>N/A</v>
      </c>
      <c r="J357" s="174" t="str">
        <f t="shared" ca="1" si="14"/>
        <v>No Error</v>
      </c>
      <c r="K357" s="174"/>
      <c r="L357" s="174"/>
      <c r="AA357" s="61">
        <f ca="1">COUNTBLANK(INDIRECT("C357"))</f>
        <v>1</v>
      </c>
      <c r="AB357" s="61">
        <f ca="1">COUNTBLANK(INDIRECT("d357"))</f>
        <v>1</v>
      </c>
      <c r="AC357" s="61">
        <f ca="1">COUNTBLANK(INDIRECT("e357"))</f>
        <v>1</v>
      </c>
      <c r="AD357" s="61">
        <f ca="1">COUNTBLANK(INDIRECT("f357"))</f>
        <v>1</v>
      </c>
      <c r="AE357" s="61">
        <f ca="1">COUNTBLANK(INDIRECT("g357"))</f>
        <v>1</v>
      </c>
      <c r="AF357" s="61">
        <f ca="1">COUNTBLANK(INDIRECT("h357"))</f>
        <v>1</v>
      </c>
      <c r="AG357" s="61">
        <f ca="1">COUNTBLANK(INDIRECT("b357"))</f>
        <v>1</v>
      </c>
    </row>
    <row r="358" spans="1:33" x14ac:dyDescent="0.25">
      <c r="A358" s="2">
        <v>26</v>
      </c>
      <c r="B358" s="63"/>
      <c r="C358" s="56"/>
      <c r="D358" s="56"/>
      <c r="E358" s="56"/>
      <c r="F358" s="56"/>
      <c r="G358" s="56"/>
      <c r="H358" s="56"/>
      <c r="I358" s="117" t="str">
        <f ca="1">IF(AND(INDIRECT("H358")&gt;=INDIRECT("F358"),AA358=0,AB358=0,AC358=0,AF358=0),"Yes",IF(AND(INDIRECT("H358")&lt;INDIRECT("F358"),AA358=0,AB358=0,AC358=0,AF358=0),"No","N/A"))</f>
        <v>N/A</v>
      </c>
      <c r="J358" s="174" t="str">
        <f t="shared" ca="1" si="14"/>
        <v>No Error</v>
      </c>
      <c r="K358" s="174"/>
      <c r="L358" s="174"/>
      <c r="AA358" s="61">
        <f ca="1">COUNTBLANK(INDIRECT("C358"))</f>
        <v>1</v>
      </c>
      <c r="AB358" s="61">
        <f ca="1">COUNTBLANK(INDIRECT("d358"))</f>
        <v>1</v>
      </c>
      <c r="AC358" s="61">
        <f ca="1">COUNTBLANK(INDIRECT("e358"))</f>
        <v>1</v>
      </c>
      <c r="AD358" s="61">
        <f ca="1">COUNTBLANK(INDIRECT("f358"))</f>
        <v>1</v>
      </c>
      <c r="AE358" s="61">
        <f ca="1">COUNTBLANK(INDIRECT("g358"))</f>
        <v>1</v>
      </c>
      <c r="AF358" s="61">
        <f ca="1">COUNTBLANK(INDIRECT("h358"))</f>
        <v>1</v>
      </c>
      <c r="AG358" s="61">
        <f ca="1">COUNTBLANK(INDIRECT("b358"))</f>
        <v>1</v>
      </c>
    </row>
    <row r="359" spans="1:33" x14ac:dyDescent="0.25">
      <c r="A359" s="2">
        <v>27</v>
      </c>
      <c r="B359" s="63"/>
      <c r="C359" s="56"/>
      <c r="D359" s="56"/>
      <c r="E359" s="56"/>
      <c r="F359" s="56"/>
      <c r="G359" s="56"/>
      <c r="H359" s="56"/>
      <c r="I359" s="117" t="str">
        <f ca="1">IF(AND(INDIRECT("H359")&gt;=INDIRECT("F359"),AA359=0,AB359=0,AC359=0,AF359=0),"Yes",IF(AND(INDIRECT("H359")&lt;INDIRECT("F359"),AA359=0,AB359=0,AC359=0,AF359=0),"No","N/A"))</f>
        <v>N/A</v>
      </c>
      <c r="J359" s="174" t="str">
        <f t="shared" ca="1" si="14"/>
        <v>No Error</v>
      </c>
      <c r="K359" s="174"/>
      <c r="L359" s="174"/>
      <c r="AA359" s="61">
        <f ca="1">COUNTBLANK(INDIRECT("C359"))</f>
        <v>1</v>
      </c>
      <c r="AB359" s="61">
        <f ca="1">COUNTBLANK(INDIRECT("d359"))</f>
        <v>1</v>
      </c>
      <c r="AC359" s="61">
        <f ca="1">COUNTBLANK(INDIRECT("e359"))</f>
        <v>1</v>
      </c>
      <c r="AD359" s="61">
        <f ca="1">COUNTBLANK(INDIRECT("f359"))</f>
        <v>1</v>
      </c>
      <c r="AE359" s="61">
        <f ca="1">COUNTBLANK(INDIRECT("g359"))</f>
        <v>1</v>
      </c>
      <c r="AF359" s="61">
        <f ca="1">COUNTBLANK(INDIRECT("h359"))</f>
        <v>1</v>
      </c>
      <c r="AG359" s="61">
        <f ca="1">COUNTBLANK(INDIRECT("b359"))</f>
        <v>1</v>
      </c>
    </row>
    <row r="360" spans="1:33" x14ac:dyDescent="0.25">
      <c r="A360" s="2">
        <v>28</v>
      </c>
      <c r="B360" s="63"/>
      <c r="C360" s="56"/>
      <c r="D360" s="56"/>
      <c r="E360" s="56"/>
      <c r="F360" s="56"/>
      <c r="G360" s="56"/>
      <c r="H360" s="56"/>
      <c r="I360" s="117" t="str">
        <f ca="1">IF(AND(INDIRECT("H360")&gt;=INDIRECT("F360"),AA360=0,AB360=0,AC360=0,AF360=0),"Yes",IF(AND(INDIRECT("H360")&lt;INDIRECT("F360"),AA360=0,AB360=0,AC360=0,AF360=0),"No","N/A"))</f>
        <v>N/A</v>
      </c>
      <c r="J360" s="174" t="str">
        <f t="shared" ca="1" si="14"/>
        <v>No Error</v>
      </c>
      <c r="K360" s="174"/>
      <c r="L360" s="174"/>
      <c r="AA360" s="61">
        <f ca="1">COUNTBLANK(INDIRECT("C360"))</f>
        <v>1</v>
      </c>
      <c r="AB360" s="61">
        <f ca="1">COUNTBLANK(INDIRECT("d360"))</f>
        <v>1</v>
      </c>
      <c r="AC360" s="61">
        <f ca="1">COUNTBLANK(INDIRECT("e360"))</f>
        <v>1</v>
      </c>
      <c r="AD360" s="61">
        <f ca="1">COUNTBLANK(INDIRECT("f360"))</f>
        <v>1</v>
      </c>
      <c r="AE360" s="61">
        <f ca="1">COUNTBLANK(INDIRECT("g360"))</f>
        <v>1</v>
      </c>
      <c r="AF360" s="61">
        <f ca="1">COUNTBLANK(INDIRECT("h360"))</f>
        <v>1</v>
      </c>
      <c r="AG360" s="61">
        <f ca="1">COUNTBLANK(INDIRECT("b360"))</f>
        <v>1</v>
      </c>
    </row>
    <row r="361" spans="1:33" x14ac:dyDescent="0.25">
      <c r="A361" s="2">
        <v>29</v>
      </c>
      <c r="B361" s="63"/>
      <c r="C361" s="56"/>
      <c r="D361" s="56"/>
      <c r="E361" s="56"/>
      <c r="F361" s="56"/>
      <c r="G361" s="56"/>
      <c r="H361" s="56"/>
      <c r="I361" s="117" t="str">
        <f ca="1">IF(AND(INDIRECT("H361")&gt;=INDIRECT("F361"),AA361=0,AB361=0,AC361=0,AF361=0),"Yes",IF(AND(INDIRECT("H361")&lt;INDIRECT("F361"),AA361=0,AB361=0,AC361=0,AF361=0),"No","N/A"))</f>
        <v>N/A</v>
      </c>
      <c r="J361" s="174" t="str">
        <f t="shared" ca="1" si="14"/>
        <v>No Error</v>
      </c>
      <c r="K361" s="174"/>
      <c r="L361" s="174"/>
      <c r="AA361" s="61">
        <f ca="1">COUNTBLANK(INDIRECT("C361"))</f>
        <v>1</v>
      </c>
      <c r="AB361" s="61">
        <f ca="1">COUNTBLANK(INDIRECT("d361"))</f>
        <v>1</v>
      </c>
      <c r="AC361" s="61">
        <f ca="1">COUNTBLANK(INDIRECT("e361"))</f>
        <v>1</v>
      </c>
      <c r="AD361" s="61">
        <f ca="1">COUNTBLANK(INDIRECT("f361"))</f>
        <v>1</v>
      </c>
      <c r="AE361" s="61">
        <f ca="1">COUNTBLANK(INDIRECT("g361"))</f>
        <v>1</v>
      </c>
      <c r="AF361" s="61">
        <f ca="1">COUNTBLANK(INDIRECT("h361"))</f>
        <v>1</v>
      </c>
      <c r="AG361" s="61">
        <f ca="1">COUNTBLANK(INDIRECT("b361"))</f>
        <v>1</v>
      </c>
    </row>
    <row r="362" spans="1:33" x14ac:dyDescent="0.25">
      <c r="A362" s="2">
        <v>30</v>
      </c>
      <c r="B362" s="63"/>
      <c r="C362" s="56"/>
      <c r="D362" s="56"/>
      <c r="E362" s="56"/>
      <c r="F362" s="56"/>
      <c r="G362" s="56"/>
      <c r="H362" s="56"/>
      <c r="I362" s="117" t="str">
        <f ca="1">IF(AND(INDIRECT("H362")&gt;=INDIRECT("F362"),AA362=0,AB362=0,AC362=0,AF362=0),"Yes",IF(AND(INDIRECT("H362")&lt;INDIRECT("F362"),AA362=0,AB362=0,AC362=0,AF362=0),"No","N/A"))</f>
        <v>N/A</v>
      </c>
      <c r="J362" s="174" t="str">
        <f t="shared" ca="1" si="14"/>
        <v>No Error</v>
      </c>
      <c r="K362" s="174"/>
      <c r="L362" s="174"/>
      <c r="AA362" s="61">
        <f ca="1">COUNTBLANK(INDIRECT("C362"))</f>
        <v>1</v>
      </c>
      <c r="AB362" s="61">
        <f ca="1">COUNTBLANK(INDIRECT("d362"))</f>
        <v>1</v>
      </c>
      <c r="AC362" s="61">
        <f ca="1">COUNTBLANK(INDIRECT("e362"))</f>
        <v>1</v>
      </c>
      <c r="AD362" s="61">
        <f ca="1">COUNTBLANK(INDIRECT("f362"))</f>
        <v>1</v>
      </c>
      <c r="AE362" s="61">
        <f ca="1">COUNTBLANK(INDIRECT("g362"))</f>
        <v>1</v>
      </c>
      <c r="AF362" s="61">
        <f ca="1">COUNTBLANK(INDIRECT("h362"))</f>
        <v>1</v>
      </c>
      <c r="AG362" s="61">
        <f ca="1">COUNTBLANK(INDIRECT("b362"))</f>
        <v>1</v>
      </c>
    </row>
    <row r="363" spans="1:33" x14ac:dyDescent="0.25">
      <c r="A363" s="2">
        <v>31</v>
      </c>
      <c r="B363" s="63"/>
      <c r="C363" s="56"/>
      <c r="D363" s="56"/>
      <c r="E363" s="56"/>
      <c r="F363" s="56"/>
      <c r="G363" s="56"/>
      <c r="H363" s="56"/>
      <c r="I363" s="117" t="str">
        <f ca="1">IF(AND(INDIRECT("H363")&gt;=INDIRECT("F363"),AA363=0,AB363=0,AC363=0,AF363=0),"Yes",IF(AND(INDIRECT("H363")&lt;INDIRECT("F363"),AA363=0,AB363=0,AC363=0,AF363=0),"No","N/A"))</f>
        <v>N/A</v>
      </c>
      <c r="J363" s="174" t="str">
        <f t="shared" ca="1" si="14"/>
        <v>No Error</v>
      </c>
      <c r="K363" s="174"/>
      <c r="L363" s="174"/>
      <c r="AA363" s="61">
        <f ca="1">COUNTBLANK(INDIRECT("C363"))</f>
        <v>1</v>
      </c>
      <c r="AB363" s="61">
        <f ca="1">COUNTBLANK(INDIRECT("d363"))</f>
        <v>1</v>
      </c>
      <c r="AC363" s="61">
        <f ca="1">COUNTBLANK(INDIRECT("e363"))</f>
        <v>1</v>
      </c>
      <c r="AD363" s="61">
        <f ca="1">COUNTBLANK(INDIRECT("f363"))</f>
        <v>1</v>
      </c>
      <c r="AE363" s="61">
        <f ca="1">COUNTBLANK(INDIRECT("g363"))</f>
        <v>1</v>
      </c>
      <c r="AF363" s="61">
        <f ca="1">COUNTBLANK(INDIRECT("h363"))</f>
        <v>1</v>
      </c>
      <c r="AG363" s="61">
        <f ca="1">COUNTBLANK(INDIRECT("b363"))</f>
        <v>1</v>
      </c>
    </row>
    <row r="364" spans="1:33" x14ac:dyDescent="0.25">
      <c r="A364" s="2">
        <v>32</v>
      </c>
      <c r="B364" s="63"/>
      <c r="C364" s="56"/>
      <c r="D364" s="56"/>
      <c r="E364" s="56"/>
      <c r="F364" s="56"/>
      <c r="G364" s="56"/>
      <c r="H364" s="56"/>
      <c r="I364" s="117" t="str">
        <f ca="1">IF(AND(INDIRECT("H364")&gt;=INDIRECT("F364"),AA364=0,AB364=0,AC364=0,AF364=0),"Yes",IF(AND(INDIRECT("H364")&lt;INDIRECT("F364"),AA364=0,AB364=0,AC364=0,AF364=0),"No","N/A"))</f>
        <v>N/A</v>
      </c>
      <c r="J364" s="174" t="str">
        <f t="shared" ca="1" si="14"/>
        <v>No Error</v>
      </c>
      <c r="K364" s="174"/>
      <c r="L364" s="174"/>
      <c r="AA364" s="61">
        <f ca="1">COUNTBLANK(INDIRECT("C364"))</f>
        <v>1</v>
      </c>
      <c r="AB364" s="61">
        <f ca="1">COUNTBLANK(INDIRECT("d364"))</f>
        <v>1</v>
      </c>
      <c r="AC364" s="61">
        <f ca="1">COUNTBLANK(INDIRECT("e364"))</f>
        <v>1</v>
      </c>
      <c r="AD364" s="61">
        <f ca="1">COUNTBLANK(INDIRECT("f364"))</f>
        <v>1</v>
      </c>
      <c r="AE364" s="61">
        <f ca="1">COUNTBLANK(INDIRECT("g364"))</f>
        <v>1</v>
      </c>
      <c r="AF364" s="61">
        <f ca="1">COUNTBLANK(INDIRECT("h364"))</f>
        <v>1</v>
      </c>
      <c r="AG364" s="61">
        <f ca="1">COUNTBLANK(INDIRECT("b364"))</f>
        <v>1</v>
      </c>
    </row>
    <row r="365" spans="1:33" x14ac:dyDescent="0.25">
      <c r="A365" s="2">
        <v>33</v>
      </c>
      <c r="B365" s="63"/>
      <c r="C365" s="56"/>
      <c r="D365" s="56"/>
      <c r="E365" s="56"/>
      <c r="F365" s="56"/>
      <c r="G365" s="56"/>
      <c r="H365" s="56"/>
      <c r="I365" s="117" t="str">
        <f ca="1">IF(AND(INDIRECT("H365")&gt;=INDIRECT("F365"),AA365=0,AB365=0,AC365=0,AF365=0),"Yes",IF(AND(INDIRECT("H365")&lt;INDIRECT("F365"),AA365=0,AB365=0,AC365=0,AF365=0),"No","N/A"))</f>
        <v>N/A</v>
      </c>
      <c r="J365" s="174" t="str">
        <f t="shared" ca="1" si="14"/>
        <v>No Error</v>
      </c>
      <c r="K365" s="174"/>
      <c r="L365" s="174"/>
      <c r="AA365" s="61">
        <f ca="1">COUNTBLANK(INDIRECT("C365"))</f>
        <v>1</v>
      </c>
      <c r="AB365" s="61">
        <f ca="1">COUNTBLANK(INDIRECT("d365"))</f>
        <v>1</v>
      </c>
      <c r="AC365" s="61">
        <f ca="1">COUNTBLANK(INDIRECT("e365"))</f>
        <v>1</v>
      </c>
      <c r="AD365" s="61">
        <f ca="1">COUNTBLANK(INDIRECT("f365"))</f>
        <v>1</v>
      </c>
      <c r="AE365" s="61">
        <f ca="1">COUNTBLANK(INDIRECT("g365"))</f>
        <v>1</v>
      </c>
      <c r="AF365" s="61">
        <f ca="1">COUNTBLANK(INDIRECT("h365"))</f>
        <v>1</v>
      </c>
      <c r="AG365" s="61">
        <f ca="1">COUNTBLANK(INDIRECT("b365"))</f>
        <v>1</v>
      </c>
    </row>
    <row r="366" spans="1:33" x14ac:dyDescent="0.25">
      <c r="A366" s="2">
        <v>34</v>
      </c>
      <c r="B366" s="63"/>
      <c r="C366" s="56"/>
      <c r="D366" s="56"/>
      <c r="E366" s="56"/>
      <c r="F366" s="56"/>
      <c r="G366" s="56"/>
      <c r="H366" s="56"/>
      <c r="I366" s="117" t="str">
        <f ca="1">IF(AND(INDIRECT("H366")&gt;=INDIRECT("F366"),AA366=0,AB366=0,AC366=0,AF366=0),"Yes",IF(AND(INDIRECT("H366")&lt;INDIRECT("F366"),AA366=0,AB366=0,AC366=0,AF366=0),"No","N/A"))</f>
        <v>N/A</v>
      </c>
      <c r="J366" s="174" t="str">
        <f t="shared" ca="1" si="14"/>
        <v>No Error</v>
      </c>
      <c r="K366" s="174"/>
      <c r="L366" s="174"/>
      <c r="AA366" s="61">
        <f ca="1">COUNTBLANK(INDIRECT("C366"))</f>
        <v>1</v>
      </c>
      <c r="AB366" s="61">
        <f ca="1">COUNTBLANK(INDIRECT("d366"))</f>
        <v>1</v>
      </c>
      <c r="AC366" s="61">
        <f ca="1">COUNTBLANK(INDIRECT("e366"))</f>
        <v>1</v>
      </c>
      <c r="AD366" s="61">
        <f ca="1">COUNTBLANK(INDIRECT("f366"))</f>
        <v>1</v>
      </c>
      <c r="AE366" s="61">
        <f ca="1">COUNTBLANK(INDIRECT("g366"))</f>
        <v>1</v>
      </c>
      <c r="AF366" s="61">
        <f ca="1">COUNTBLANK(INDIRECT("h366"))</f>
        <v>1</v>
      </c>
      <c r="AG366" s="61">
        <f ca="1">COUNTBLANK(INDIRECT("b366"))</f>
        <v>1</v>
      </c>
    </row>
    <row r="367" spans="1:33" x14ac:dyDescent="0.25">
      <c r="A367" s="2">
        <v>35</v>
      </c>
      <c r="B367" s="63"/>
      <c r="C367" s="56"/>
      <c r="D367" s="56"/>
      <c r="E367" s="56"/>
      <c r="F367" s="56"/>
      <c r="G367" s="56"/>
      <c r="H367" s="56"/>
      <c r="I367" s="117" t="str">
        <f ca="1">IF(AND(INDIRECT("H367")&gt;=INDIRECT("F367"),AA367=0,AB367=0,AC367=0,AF367=0),"Yes",IF(AND(INDIRECT("H367")&lt;INDIRECT("F367"),AA367=0,AB367=0,AC367=0,AF367=0),"No","N/A"))</f>
        <v>N/A</v>
      </c>
      <c r="J367" s="174" t="str">
        <f t="shared" ca="1" si="14"/>
        <v>No Error</v>
      </c>
      <c r="K367" s="174"/>
      <c r="L367" s="174"/>
      <c r="AA367" s="61">
        <f ca="1">COUNTBLANK(INDIRECT("C367"))</f>
        <v>1</v>
      </c>
      <c r="AB367" s="61">
        <f ca="1">COUNTBLANK(INDIRECT("d367"))</f>
        <v>1</v>
      </c>
      <c r="AC367" s="61">
        <f ca="1">COUNTBLANK(INDIRECT("e367"))</f>
        <v>1</v>
      </c>
      <c r="AD367" s="61">
        <f ca="1">COUNTBLANK(INDIRECT("f367"))</f>
        <v>1</v>
      </c>
      <c r="AE367" s="61">
        <f ca="1">COUNTBLANK(INDIRECT("g367"))</f>
        <v>1</v>
      </c>
      <c r="AF367" s="61">
        <f ca="1">COUNTBLANK(INDIRECT("h367"))</f>
        <v>1</v>
      </c>
      <c r="AG367" s="61">
        <f ca="1">COUNTBLANK(INDIRECT("b367"))</f>
        <v>1</v>
      </c>
    </row>
    <row r="368" spans="1:33" x14ac:dyDescent="0.25">
      <c r="A368" s="2">
        <v>36</v>
      </c>
      <c r="B368" s="63"/>
      <c r="C368" s="56"/>
      <c r="D368" s="56"/>
      <c r="E368" s="56"/>
      <c r="F368" s="56"/>
      <c r="G368" s="56"/>
      <c r="H368" s="56"/>
      <c r="I368" s="117" t="str">
        <f ca="1">IF(AND(INDIRECT("H368")&gt;=INDIRECT("F368"),AA368=0,AB368=0,AC368=0,AF368=0),"Yes",IF(AND(INDIRECT("H368")&lt;INDIRECT("F368"),AA368=0,AB368=0,AC368=0,AF368=0),"No","N/A"))</f>
        <v>N/A</v>
      </c>
      <c r="J368" s="174" t="str">
        <f t="shared" ca="1" si="14"/>
        <v>No Error</v>
      </c>
      <c r="K368" s="174"/>
      <c r="L368" s="174"/>
      <c r="AA368" s="61">
        <f ca="1">COUNTBLANK(INDIRECT("C368"))</f>
        <v>1</v>
      </c>
      <c r="AB368" s="61">
        <f ca="1">COUNTBLANK(INDIRECT("d368"))</f>
        <v>1</v>
      </c>
      <c r="AC368" s="61">
        <f ca="1">COUNTBLANK(INDIRECT("e368"))</f>
        <v>1</v>
      </c>
      <c r="AD368" s="61">
        <f ca="1">COUNTBLANK(INDIRECT("f368"))</f>
        <v>1</v>
      </c>
      <c r="AE368" s="61">
        <f ca="1">COUNTBLANK(INDIRECT("g368"))</f>
        <v>1</v>
      </c>
      <c r="AF368" s="61">
        <f ca="1">COUNTBLANK(INDIRECT("h368"))</f>
        <v>1</v>
      </c>
      <c r="AG368" s="61">
        <f ca="1">COUNTBLANK(INDIRECT("b368"))</f>
        <v>1</v>
      </c>
    </row>
    <row r="369" spans="1:33" x14ac:dyDescent="0.25">
      <c r="A369" s="2">
        <v>37</v>
      </c>
      <c r="B369" s="63"/>
      <c r="C369" s="56"/>
      <c r="D369" s="56"/>
      <c r="E369" s="56"/>
      <c r="F369" s="56"/>
      <c r="G369" s="56"/>
      <c r="H369" s="56"/>
      <c r="I369" s="117" t="str">
        <f ca="1">IF(AND(INDIRECT("H369")&gt;=INDIRECT("F369"),AA369=0,AB369=0,AC369=0,AF369=0),"Yes",IF(AND(INDIRECT("H369")&lt;INDIRECT("F369"),AA369=0,AB369=0,AC369=0,AF369=0),"No","N/A"))</f>
        <v>N/A</v>
      </c>
      <c r="J369" s="174" t="str">
        <f t="shared" ca="1" si="14"/>
        <v>No Error</v>
      </c>
      <c r="K369" s="174"/>
      <c r="L369" s="174"/>
      <c r="AA369" s="61">
        <f ca="1">COUNTBLANK(INDIRECT("C369"))</f>
        <v>1</v>
      </c>
      <c r="AB369" s="61">
        <f ca="1">COUNTBLANK(INDIRECT("d369"))</f>
        <v>1</v>
      </c>
      <c r="AC369" s="61">
        <f ca="1">COUNTBLANK(INDIRECT("e369"))</f>
        <v>1</v>
      </c>
      <c r="AD369" s="61">
        <f ca="1">COUNTBLANK(INDIRECT("f369"))</f>
        <v>1</v>
      </c>
      <c r="AE369" s="61">
        <f ca="1">COUNTBLANK(INDIRECT("g369"))</f>
        <v>1</v>
      </c>
      <c r="AF369" s="61">
        <f ca="1">COUNTBLANK(INDIRECT("h369"))</f>
        <v>1</v>
      </c>
      <c r="AG369" s="61">
        <f ca="1">COUNTBLANK(INDIRECT("b369"))</f>
        <v>1</v>
      </c>
    </row>
    <row r="370" spans="1:33" x14ac:dyDescent="0.25">
      <c r="A370" s="2">
        <v>38</v>
      </c>
      <c r="B370" s="63"/>
      <c r="C370" s="56"/>
      <c r="D370" s="56"/>
      <c r="E370" s="56"/>
      <c r="F370" s="56"/>
      <c r="G370" s="56"/>
      <c r="H370" s="56"/>
      <c r="I370" s="117" t="str">
        <f ca="1">IF(AND(INDIRECT("H370")&gt;=INDIRECT("F370"),AA370=0,AB370=0,AC370=0,AF370=0),"Yes",IF(AND(INDIRECT("H370")&lt;INDIRECT("F370"),AA370=0,AB370=0,AC370=0,AF370=0),"No","N/A"))</f>
        <v>N/A</v>
      </c>
      <c r="J370" s="174" t="str">
        <f t="shared" ca="1" si="14"/>
        <v>No Error</v>
      </c>
      <c r="K370" s="174"/>
      <c r="L370" s="174"/>
      <c r="AA370" s="61">
        <f ca="1">COUNTBLANK(INDIRECT("C370"))</f>
        <v>1</v>
      </c>
      <c r="AB370" s="61">
        <f ca="1">COUNTBLANK(INDIRECT("d370"))</f>
        <v>1</v>
      </c>
      <c r="AC370" s="61">
        <f ca="1">COUNTBLANK(INDIRECT("e370"))</f>
        <v>1</v>
      </c>
      <c r="AD370" s="61">
        <f ca="1">COUNTBLANK(INDIRECT("f370"))</f>
        <v>1</v>
      </c>
      <c r="AE370" s="61">
        <f ca="1">COUNTBLANK(INDIRECT("g370"))</f>
        <v>1</v>
      </c>
      <c r="AF370" s="61">
        <f ca="1">COUNTBLANK(INDIRECT("h370"))</f>
        <v>1</v>
      </c>
      <c r="AG370" s="61">
        <f ca="1">COUNTBLANK(INDIRECT("b370"))</f>
        <v>1</v>
      </c>
    </row>
    <row r="371" spans="1:33" x14ac:dyDescent="0.25">
      <c r="A371" s="2">
        <v>39</v>
      </c>
      <c r="B371" s="63"/>
      <c r="C371" s="56"/>
      <c r="D371" s="56"/>
      <c r="E371" s="56"/>
      <c r="F371" s="56"/>
      <c r="G371" s="56"/>
      <c r="H371" s="56"/>
      <c r="I371" s="117" t="str">
        <f ca="1">IF(AND(INDIRECT("H371")&gt;=INDIRECT("F371"),AA371=0,AB371=0,AC371=0,AF371=0),"Yes",IF(AND(INDIRECT("H371")&lt;INDIRECT("F371"),AA371=0,AB371=0,AC371=0,AF371=0),"No","N/A"))</f>
        <v>N/A</v>
      </c>
      <c r="J371" s="174" t="str">
        <f t="shared" ca="1" si="14"/>
        <v>No Error</v>
      </c>
      <c r="K371" s="174"/>
      <c r="L371" s="174"/>
      <c r="AA371" s="61">
        <f ca="1">COUNTBLANK(INDIRECT("C371"))</f>
        <v>1</v>
      </c>
      <c r="AB371" s="61">
        <f ca="1">COUNTBLANK(INDIRECT("d371"))</f>
        <v>1</v>
      </c>
      <c r="AC371" s="61">
        <f ca="1">COUNTBLANK(INDIRECT("e371"))</f>
        <v>1</v>
      </c>
      <c r="AD371" s="61">
        <f ca="1">COUNTBLANK(INDIRECT("f371"))</f>
        <v>1</v>
      </c>
      <c r="AE371" s="61">
        <f ca="1">COUNTBLANK(INDIRECT("g371"))</f>
        <v>1</v>
      </c>
      <c r="AF371" s="61">
        <f ca="1">COUNTBLANK(INDIRECT("h371"))</f>
        <v>1</v>
      </c>
      <c r="AG371" s="61">
        <f ca="1">COUNTBLANK(INDIRECT("b371"))</f>
        <v>1</v>
      </c>
    </row>
    <row r="372" spans="1:33" x14ac:dyDescent="0.25">
      <c r="A372" s="2">
        <v>40</v>
      </c>
      <c r="B372" s="63"/>
      <c r="C372" s="56"/>
      <c r="D372" s="56"/>
      <c r="E372" s="56"/>
      <c r="F372" s="56"/>
      <c r="G372" s="56"/>
      <c r="H372" s="56"/>
      <c r="I372" s="117" t="str">
        <f ca="1">IF(AND(INDIRECT("H372")&gt;=INDIRECT("F372"),AA372=0,AB372=0,AC372=0,AF372=0),"Yes",IF(AND(INDIRECT("H372")&lt;INDIRECT("F372"),AA372=0,AB372=0,AC372=0,AF372=0),"No","N/A"))</f>
        <v>N/A</v>
      </c>
      <c r="J372" s="174" t="str">
        <f t="shared" ca="1" si="14"/>
        <v>No Error</v>
      </c>
      <c r="K372" s="174"/>
      <c r="L372" s="174"/>
      <c r="AA372" s="61">
        <f ca="1">COUNTBLANK(INDIRECT("C372"))</f>
        <v>1</v>
      </c>
      <c r="AB372" s="61">
        <f ca="1">COUNTBLANK(INDIRECT("d372"))</f>
        <v>1</v>
      </c>
      <c r="AC372" s="61">
        <f ca="1">COUNTBLANK(INDIRECT("e372"))</f>
        <v>1</v>
      </c>
      <c r="AD372" s="61">
        <f ca="1">COUNTBLANK(INDIRECT("f372"))</f>
        <v>1</v>
      </c>
      <c r="AE372" s="61">
        <f ca="1">COUNTBLANK(INDIRECT("g372"))</f>
        <v>1</v>
      </c>
      <c r="AF372" s="61">
        <f ca="1">COUNTBLANK(INDIRECT("h372"))</f>
        <v>1</v>
      </c>
      <c r="AG372" s="61">
        <f ca="1">COUNTBLANK(INDIRECT("b372"))</f>
        <v>1</v>
      </c>
    </row>
    <row r="373" spans="1:33" x14ac:dyDescent="0.25">
      <c r="A373" s="2">
        <v>41</v>
      </c>
      <c r="B373" s="63"/>
      <c r="C373" s="56"/>
      <c r="D373" s="56"/>
      <c r="E373" s="56"/>
      <c r="F373" s="56"/>
      <c r="G373" s="56"/>
      <c r="H373" s="56"/>
      <c r="I373" s="117" t="str">
        <f ca="1">IF(AND(INDIRECT("H373")&gt;=INDIRECT("F373"),AA373=0,AB373=0,AC373=0,AF373=0),"Yes",IF(AND(INDIRECT("H373")&lt;INDIRECT("F373"),AA373=0,AB373=0,AC373=0,AF373=0),"No","N/A"))</f>
        <v>N/A</v>
      </c>
      <c r="J373" s="174" t="str">
        <f t="shared" ca="1" si="14"/>
        <v>No Error</v>
      </c>
      <c r="K373" s="174"/>
      <c r="L373" s="174"/>
      <c r="AA373" s="61">
        <f ca="1">COUNTBLANK(INDIRECT("C373"))</f>
        <v>1</v>
      </c>
      <c r="AB373" s="61">
        <f ca="1">COUNTBLANK(INDIRECT("d373"))</f>
        <v>1</v>
      </c>
      <c r="AC373" s="61">
        <f ca="1">COUNTBLANK(INDIRECT("e373"))</f>
        <v>1</v>
      </c>
      <c r="AD373" s="61">
        <f ca="1">COUNTBLANK(INDIRECT("f373"))</f>
        <v>1</v>
      </c>
      <c r="AE373" s="61">
        <f ca="1">COUNTBLANK(INDIRECT("g373"))</f>
        <v>1</v>
      </c>
      <c r="AF373" s="61">
        <f ca="1">COUNTBLANK(INDIRECT("h373"))</f>
        <v>1</v>
      </c>
      <c r="AG373" s="61">
        <f ca="1">COUNTBLANK(INDIRECT("b373"))</f>
        <v>1</v>
      </c>
    </row>
    <row r="374" spans="1:33" x14ac:dyDescent="0.25">
      <c r="A374" s="2">
        <v>42</v>
      </c>
      <c r="B374" s="63"/>
      <c r="C374" s="56"/>
      <c r="D374" s="56"/>
      <c r="E374" s="56"/>
      <c r="F374" s="56"/>
      <c r="G374" s="56"/>
      <c r="H374" s="56"/>
      <c r="I374" s="117" t="str">
        <f ca="1">IF(AND(INDIRECT("H374")&gt;=INDIRECT("F374"),AA374=0,AB374=0,AC374=0,AF374=0),"Yes",IF(AND(INDIRECT("H374")&lt;INDIRECT("F374"),AA374=0,AB374=0,AC374=0,AF374=0),"No","N/A"))</f>
        <v>N/A</v>
      </c>
      <c r="J374" s="174" t="str">
        <f t="shared" ca="1" si="14"/>
        <v>No Error</v>
      </c>
      <c r="K374" s="174"/>
      <c r="L374" s="174"/>
      <c r="AA374" s="61">
        <f ca="1">COUNTBLANK(INDIRECT("C374"))</f>
        <v>1</v>
      </c>
      <c r="AB374" s="61">
        <f ca="1">COUNTBLANK(INDIRECT("d374"))</f>
        <v>1</v>
      </c>
      <c r="AC374" s="61">
        <f ca="1">COUNTBLANK(INDIRECT("e374"))</f>
        <v>1</v>
      </c>
      <c r="AD374" s="61">
        <f ca="1">COUNTBLANK(INDIRECT("f374"))</f>
        <v>1</v>
      </c>
      <c r="AE374" s="61">
        <f ca="1">COUNTBLANK(INDIRECT("g374"))</f>
        <v>1</v>
      </c>
      <c r="AF374" s="61">
        <f ca="1">COUNTBLANK(INDIRECT("h374"))</f>
        <v>1</v>
      </c>
      <c r="AG374" s="61">
        <f ca="1">COUNTBLANK(INDIRECT("b374"))</f>
        <v>1</v>
      </c>
    </row>
    <row r="375" spans="1:33" x14ac:dyDescent="0.25">
      <c r="A375" s="2">
        <v>43</v>
      </c>
      <c r="B375" s="63"/>
      <c r="C375" s="56"/>
      <c r="D375" s="56"/>
      <c r="E375" s="56"/>
      <c r="F375" s="56"/>
      <c r="G375" s="56"/>
      <c r="H375" s="56"/>
      <c r="I375" s="117" t="str">
        <f ca="1">IF(AND(INDIRECT("H375")&gt;=INDIRECT("F375"),AA375=0,AB375=0,AC375=0,AF375=0),"Yes",IF(AND(INDIRECT("H375")&lt;INDIRECT("F375"),AA375=0,AB375=0,AC375=0,AF375=0),"No","N/A"))</f>
        <v>N/A</v>
      </c>
      <c r="J375" s="174" t="str">
        <f t="shared" ca="1" si="14"/>
        <v>No Error</v>
      </c>
      <c r="K375" s="174"/>
      <c r="L375" s="174"/>
      <c r="AA375" s="61">
        <f ca="1">COUNTBLANK(INDIRECT("C375"))</f>
        <v>1</v>
      </c>
      <c r="AB375" s="61">
        <f ca="1">COUNTBLANK(INDIRECT("d375"))</f>
        <v>1</v>
      </c>
      <c r="AC375" s="61">
        <f ca="1">COUNTBLANK(INDIRECT("e375"))</f>
        <v>1</v>
      </c>
      <c r="AD375" s="61">
        <f ca="1">COUNTBLANK(INDIRECT("f375"))</f>
        <v>1</v>
      </c>
      <c r="AE375" s="61">
        <f ca="1">COUNTBLANK(INDIRECT("g375"))</f>
        <v>1</v>
      </c>
      <c r="AF375" s="61">
        <f ca="1">COUNTBLANK(INDIRECT("h375"))</f>
        <v>1</v>
      </c>
      <c r="AG375" s="61">
        <f ca="1">COUNTBLANK(INDIRECT("b375"))</f>
        <v>1</v>
      </c>
    </row>
    <row r="376" spans="1:33" x14ac:dyDescent="0.25">
      <c r="A376" s="2">
        <v>44</v>
      </c>
      <c r="B376" s="63"/>
      <c r="C376" s="56"/>
      <c r="D376" s="56"/>
      <c r="E376" s="56"/>
      <c r="F376" s="56"/>
      <c r="G376" s="56"/>
      <c r="H376" s="56"/>
      <c r="I376" s="117" t="str">
        <f ca="1">IF(AND(INDIRECT("H376")&gt;=INDIRECT("F376"),AA376=0,AB376=0,AC376=0,AF376=0),"Yes",IF(AND(INDIRECT("H376")&lt;INDIRECT("F376"),AA376=0,AB376=0,AC376=0,AF376=0),"No","N/A"))</f>
        <v>N/A</v>
      </c>
      <c r="J376" s="174" t="str">
        <f t="shared" ca="1" si="14"/>
        <v>No Error</v>
      </c>
      <c r="K376" s="174"/>
      <c r="L376" s="174"/>
      <c r="AA376" s="61">
        <f ca="1">COUNTBLANK(INDIRECT("C376"))</f>
        <v>1</v>
      </c>
      <c r="AB376" s="61">
        <f ca="1">COUNTBLANK(INDIRECT("d376"))</f>
        <v>1</v>
      </c>
      <c r="AC376" s="61">
        <f ca="1">COUNTBLANK(INDIRECT("e376"))</f>
        <v>1</v>
      </c>
      <c r="AD376" s="61">
        <f ca="1">COUNTBLANK(INDIRECT("f376"))</f>
        <v>1</v>
      </c>
      <c r="AE376" s="61">
        <f ca="1">COUNTBLANK(INDIRECT("g376"))</f>
        <v>1</v>
      </c>
      <c r="AF376" s="61">
        <f ca="1">COUNTBLANK(INDIRECT("h376"))</f>
        <v>1</v>
      </c>
      <c r="AG376" s="61">
        <f ca="1">COUNTBLANK(INDIRECT("b376"))</f>
        <v>1</v>
      </c>
    </row>
    <row r="377" spans="1:33" x14ac:dyDescent="0.25">
      <c r="A377" s="2">
        <v>45</v>
      </c>
      <c r="B377" s="63"/>
      <c r="C377" s="56"/>
      <c r="D377" s="56"/>
      <c r="E377" s="56"/>
      <c r="F377" s="56"/>
      <c r="G377" s="56"/>
      <c r="H377" s="56"/>
      <c r="I377" s="117" t="str">
        <f ca="1">IF(AND(INDIRECT("H377")&gt;=INDIRECT("F377"),AA377=0,AB377=0,AC377=0,AF377=0),"Yes",IF(AND(INDIRECT("H377")&lt;INDIRECT("F377"),AA377=0,AB377=0,AC377=0,AF377=0),"No","N/A"))</f>
        <v>N/A</v>
      </c>
      <c r="J377" s="174" t="str">
        <f t="shared" ca="1" si="14"/>
        <v>No Error</v>
      </c>
      <c r="K377" s="174"/>
      <c r="L377" s="174"/>
      <c r="AA377" s="61">
        <f ca="1">COUNTBLANK(INDIRECT("C377"))</f>
        <v>1</v>
      </c>
      <c r="AB377" s="61">
        <f ca="1">COUNTBLANK(INDIRECT("d377"))</f>
        <v>1</v>
      </c>
      <c r="AC377" s="61">
        <f ca="1">COUNTBLANK(INDIRECT("e377"))</f>
        <v>1</v>
      </c>
      <c r="AD377" s="61">
        <f ca="1">COUNTBLANK(INDIRECT("f377"))</f>
        <v>1</v>
      </c>
      <c r="AE377" s="61">
        <f ca="1">COUNTBLANK(INDIRECT("g377"))</f>
        <v>1</v>
      </c>
      <c r="AF377" s="61">
        <f ca="1">COUNTBLANK(INDIRECT("h377"))</f>
        <v>1</v>
      </c>
      <c r="AG377" s="61">
        <f ca="1">COUNTBLANK(INDIRECT("b377"))</f>
        <v>1</v>
      </c>
    </row>
    <row r="378" spans="1:33" x14ac:dyDescent="0.25">
      <c r="A378" s="2">
        <v>46</v>
      </c>
      <c r="B378" s="63"/>
      <c r="C378" s="56"/>
      <c r="D378" s="56"/>
      <c r="E378" s="56"/>
      <c r="F378" s="56"/>
      <c r="G378" s="56"/>
      <c r="H378" s="56"/>
      <c r="I378" s="117" t="str">
        <f ca="1">IF(AND(INDIRECT("H378")&gt;=INDIRECT("F378"),AA378=0,AB378=0,AC378=0,AF378=0),"Yes",IF(AND(INDIRECT("H378")&lt;INDIRECT("F378"),AA378=0,AB378=0,AC378=0,AF378=0),"No","N/A"))</f>
        <v>N/A</v>
      </c>
      <c r="J378" s="174" t="str">
        <f t="shared" ca="1" si="14"/>
        <v>No Error</v>
      </c>
      <c r="K378" s="174"/>
      <c r="L378" s="174"/>
      <c r="AA378" s="61">
        <f ca="1">COUNTBLANK(INDIRECT("C378"))</f>
        <v>1</v>
      </c>
      <c r="AB378" s="61">
        <f ca="1">COUNTBLANK(INDIRECT("d378"))</f>
        <v>1</v>
      </c>
      <c r="AC378" s="61">
        <f ca="1">COUNTBLANK(INDIRECT("e378"))</f>
        <v>1</v>
      </c>
      <c r="AD378" s="61">
        <f ca="1">COUNTBLANK(INDIRECT("f378"))</f>
        <v>1</v>
      </c>
      <c r="AE378" s="61">
        <f ca="1">COUNTBLANK(INDIRECT("g378"))</f>
        <v>1</v>
      </c>
      <c r="AF378" s="61">
        <f ca="1">COUNTBLANK(INDIRECT("h378"))</f>
        <v>1</v>
      </c>
      <c r="AG378" s="61">
        <f ca="1">COUNTBLANK(INDIRECT("b378"))</f>
        <v>1</v>
      </c>
    </row>
    <row r="379" spans="1:33" x14ac:dyDescent="0.25">
      <c r="A379" s="2">
        <v>47</v>
      </c>
      <c r="B379" s="63"/>
      <c r="C379" s="56"/>
      <c r="D379" s="56"/>
      <c r="E379" s="56"/>
      <c r="F379" s="56"/>
      <c r="G379" s="56"/>
      <c r="H379" s="56"/>
      <c r="I379" s="117" t="str">
        <f ca="1">IF(AND(INDIRECT("H379")&gt;=INDIRECT("F379"),AA379=0,AB379=0,AC379=0,AF379=0),"Yes",IF(AND(INDIRECT("H379")&lt;INDIRECT("F379"),AA379=0,AB379=0,AC379=0,AF379=0),"No","N/A"))</f>
        <v>N/A</v>
      </c>
      <c r="J379" s="174" t="str">
        <f t="shared" ca="1" si="14"/>
        <v>No Error</v>
      </c>
      <c r="K379" s="174"/>
      <c r="L379" s="174"/>
      <c r="AA379" s="61">
        <f ca="1">COUNTBLANK(INDIRECT("C379"))</f>
        <v>1</v>
      </c>
      <c r="AB379" s="61">
        <f ca="1">COUNTBLANK(INDIRECT("d379"))</f>
        <v>1</v>
      </c>
      <c r="AC379" s="61">
        <f ca="1">COUNTBLANK(INDIRECT("e379"))</f>
        <v>1</v>
      </c>
      <c r="AD379" s="61">
        <f ca="1">COUNTBLANK(INDIRECT("f379"))</f>
        <v>1</v>
      </c>
      <c r="AE379" s="61">
        <f ca="1">COUNTBLANK(INDIRECT("g379"))</f>
        <v>1</v>
      </c>
      <c r="AF379" s="61">
        <f ca="1">COUNTBLANK(INDIRECT("h379"))</f>
        <v>1</v>
      </c>
      <c r="AG379" s="61">
        <f ca="1">COUNTBLANK(INDIRECT("b379"))</f>
        <v>1</v>
      </c>
    </row>
    <row r="380" spans="1:33" x14ac:dyDescent="0.25">
      <c r="A380" s="2">
        <v>48</v>
      </c>
      <c r="B380" s="63"/>
      <c r="C380" s="56"/>
      <c r="D380" s="56"/>
      <c r="E380" s="56"/>
      <c r="F380" s="56"/>
      <c r="G380" s="56"/>
      <c r="H380" s="56"/>
      <c r="I380" s="117" t="str">
        <f ca="1">IF(AND(INDIRECT("H380")&gt;=INDIRECT("F380"),AA380=0,AB380=0,AC380=0,AF380=0),"Yes",IF(AND(INDIRECT("H380")&lt;INDIRECT("F380"),AA380=0,AB380=0,AC380=0,AF380=0),"No","N/A"))</f>
        <v>N/A</v>
      </c>
      <c r="J380" s="174" t="str">
        <f t="shared" ca="1" si="14"/>
        <v>No Error</v>
      </c>
      <c r="K380" s="174"/>
      <c r="L380" s="174"/>
      <c r="AA380" s="61">
        <f ca="1">COUNTBLANK(INDIRECT("C380"))</f>
        <v>1</v>
      </c>
      <c r="AB380" s="61">
        <f ca="1">COUNTBLANK(INDIRECT("d380"))</f>
        <v>1</v>
      </c>
      <c r="AC380" s="61">
        <f ca="1">COUNTBLANK(INDIRECT("e380"))</f>
        <v>1</v>
      </c>
      <c r="AD380" s="61">
        <f ca="1">COUNTBLANK(INDIRECT("f380"))</f>
        <v>1</v>
      </c>
      <c r="AE380" s="61">
        <f ca="1">COUNTBLANK(INDIRECT("g380"))</f>
        <v>1</v>
      </c>
      <c r="AF380" s="61">
        <f ca="1">COUNTBLANK(INDIRECT("h380"))</f>
        <v>1</v>
      </c>
      <c r="AG380" s="61">
        <f ca="1">COUNTBLANK(INDIRECT("b380"))</f>
        <v>1</v>
      </c>
    </row>
    <row r="381" spans="1:33" x14ac:dyDescent="0.25">
      <c r="A381" s="2">
        <v>49</v>
      </c>
      <c r="B381" s="63"/>
      <c r="C381" s="56"/>
      <c r="D381" s="56"/>
      <c r="E381" s="56"/>
      <c r="F381" s="56"/>
      <c r="G381" s="56"/>
      <c r="H381" s="56"/>
      <c r="I381" s="117" t="str">
        <f ca="1">IF(AND(INDIRECT("H381")&gt;=INDIRECT("F381"),AA381=0,AB381=0,AC381=0,AF381=0),"Yes",IF(AND(INDIRECT("H381")&lt;INDIRECT("F381"),AA381=0,AB381=0,AC381=0,AF381=0),"No","N/A"))</f>
        <v>N/A</v>
      </c>
      <c r="J381" s="174" t="str">
        <f t="shared" ca="1" si="14"/>
        <v>No Error</v>
      </c>
      <c r="K381" s="174"/>
      <c r="L381" s="174"/>
      <c r="AA381" s="61">
        <f ca="1">COUNTBLANK(INDIRECT("C381"))</f>
        <v>1</v>
      </c>
      <c r="AB381" s="61">
        <f ca="1">COUNTBLANK(INDIRECT("d381"))</f>
        <v>1</v>
      </c>
      <c r="AC381" s="61">
        <f ca="1">COUNTBLANK(INDIRECT("e381"))</f>
        <v>1</v>
      </c>
      <c r="AD381" s="61">
        <f ca="1">COUNTBLANK(INDIRECT("f381"))</f>
        <v>1</v>
      </c>
      <c r="AE381" s="61">
        <f ca="1">COUNTBLANK(INDIRECT("g381"))</f>
        <v>1</v>
      </c>
      <c r="AF381" s="61">
        <f ca="1">COUNTBLANK(INDIRECT("h381"))</f>
        <v>1</v>
      </c>
      <c r="AG381" s="61">
        <f ca="1">COUNTBLANK(INDIRECT("b381"))</f>
        <v>1</v>
      </c>
    </row>
    <row r="382" spans="1:33" x14ac:dyDescent="0.25">
      <c r="A382" s="2">
        <v>50</v>
      </c>
      <c r="B382" s="63"/>
      <c r="C382" s="56"/>
      <c r="D382" s="56"/>
      <c r="E382" s="56"/>
      <c r="F382" s="56"/>
      <c r="G382" s="56"/>
      <c r="H382" s="56"/>
      <c r="I382" s="117" t="str">
        <f ca="1">IF(AND(INDIRECT("H382")&gt;=INDIRECT("F382"),AA382=0,AB382=0,AC382=0,AF382=0),"Yes",IF(AND(INDIRECT("H382")&lt;INDIRECT("F382"),AA382=0,AB382=0,AC382=0,AF382=0),"No","N/A"))</f>
        <v>N/A</v>
      </c>
      <c r="J382" s="174" t="str">
        <f t="shared" ca="1" si="14"/>
        <v>No Error</v>
      </c>
      <c r="K382" s="174"/>
      <c r="L382" s="174"/>
      <c r="AA382" s="61">
        <f ca="1">COUNTBLANK(INDIRECT("C382"))</f>
        <v>1</v>
      </c>
      <c r="AB382" s="61">
        <f ca="1">COUNTBLANK(INDIRECT("d382"))</f>
        <v>1</v>
      </c>
      <c r="AC382" s="61">
        <f ca="1">COUNTBLANK(INDIRECT("e382"))</f>
        <v>1</v>
      </c>
      <c r="AD382" s="61">
        <f ca="1">COUNTBLANK(INDIRECT("f382"))</f>
        <v>1</v>
      </c>
      <c r="AE382" s="61">
        <f ca="1">COUNTBLANK(INDIRECT("g382"))</f>
        <v>1</v>
      </c>
      <c r="AF382" s="61">
        <f ca="1">COUNTBLANK(INDIRECT("h382"))</f>
        <v>1</v>
      </c>
      <c r="AG382" s="61">
        <f ca="1">COUNTBLANK(INDIRECT("b382"))</f>
        <v>1</v>
      </c>
    </row>
    <row r="383" spans="1:33" x14ac:dyDescent="0.25">
      <c r="A383" s="2">
        <v>51</v>
      </c>
      <c r="B383" s="63"/>
      <c r="C383" s="56"/>
      <c r="D383" s="56"/>
      <c r="E383" s="56"/>
      <c r="F383" s="56"/>
      <c r="G383" s="56"/>
      <c r="H383" s="56"/>
      <c r="I383" s="117" t="str">
        <f ca="1">IF(AND(INDIRECT("H383")&gt;=INDIRECT("F383"),AA383=0,AB383=0,AC383=0,AF383=0),"Yes",IF(AND(INDIRECT("H383")&lt;INDIRECT("F383"),AA383=0,AB383=0,AC383=0,AF383=0),"No","N/A"))</f>
        <v>N/A</v>
      </c>
      <c r="J383" s="174" t="str">
        <f t="shared" ca="1" si="14"/>
        <v>No Error</v>
      </c>
      <c r="K383" s="174"/>
      <c r="L383" s="174"/>
      <c r="AA383" s="61">
        <f ca="1">COUNTBLANK(INDIRECT("C383"))</f>
        <v>1</v>
      </c>
      <c r="AB383" s="61">
        <f ca="1">COUNTBLANK(INDIRECT("d383"))</f>
        <v>1</v>
      </c>
      <c r="AC383" s="61">
        <f ca="1">COUNTBLANK(INDIRECT("e383"))</f>
        <v>1</v>
      </c>
      <c r="AD383" s="61">
        <f ca="1">COUNTBLANK(INDIRECT("f383"))</f>
        <v>1</v>
      </c>
      <c r="AE383" s="61">
        <f ca="1">COUNTBLANK(INDIRECT("g383"))</f>
        <v>1</v>
      </c>
      <c r="AF383" s="61">
        <f ca="1">COUNTBLANK(INDIRECT("h383"))</f>
        <v>1</v>
      </c>
      <c r="AG383" s="61">
        <f ca="1">COUNTBLANK(INDIRECT("b383"))</f>
        <v>1</v>
      </c>
    </row>
    <row r="384" spans="1:33" x14ac:dyDescent="0.25">
      <c r="A384" s="2">
        <v>52</v>
      </c>
      <c r="B384" s="63"/>
      <c r="C384" s="56"/>
      <c r="D384" s="56"/>
      <c r="E384" s="56"/>
      <c r="F384" s="56"/>
      <c r="G384" s="56"/>
      <c r="H384" s="56"/>
      <c r="I384" s="117" t="str">
        <f ca="1">IF(AND(INDIRECT("H384")&gt;=INDIRECT("F384"),AA384=0,AB384=0,AC384=0,AF384=0),"Yes",IF(AND(INDIRECT("H384")&lt;INDIRECT("F384"),AA384=0,AB384=0,AC384=0,AF384=0),"No","N/A"))</f>
        <v>N/A</v>
      </c>
      <c r="J384" s="174" t="str">
        <f t="shared" ca="1" si="14"/>
        <v>No Error</v>
      </c>
      <c r="K384" s="174"/>
      <c r="L384" s="174"/>
      <c r="AA384" s="61">
        <f ca="1">COUNTBLANK(INDIRECT("C384"))</f>
        <v>1</v>
      </c>
      <c r="AB384" s="61">
        <f ca="1">COUNTBLANK(INDIRECT("d384"))</f>
        <v>1</v>
      </c>
      <c r="AC384" s="61">
        <f ca="1">COUNTBLANK(INDIRECT("e384"))</f>
        <v>1</v>
      </c>
      <c r="AD384" s="61">
        <f ca="1">COUNTBLANK(INDIRECT("f384"))</f>
        <v>1</v>
      </c>
      <c r="AE384" s="61">
        <f ca="1">COUNTBLANK(INDIRECT("g384"))</f>
        <v>1</v>
      </c>
      <c r="AF384" s="61">
        <f ca="1">COUNTBLANK(INDIRECT("h384"))</f>
        <v>1</v>
      </c>
      <c r="AG384" s="61">
        <f ca="1">COUNTBLANK(INDIRECT("b384"))</f>
        <v>1</v>
      </c>
    </row>
    <row r="385" spans="1:33" x14ac:dyDescent="0.25">
      <c r="A385" s="2">
        <v>53</v>
      </c>
      <c r="B385" s="63"/>
      <c r="C385" s="56"/>
      <c r="D385" s="56"/>
      <c r="E385" s="56"/>
      <c r="F385" s="56"/>
      <c r="G385" s="56"/>
      <c r="H385" s="56"/>
      <c r="I385" s="117" t="str">
        <f ca="1">IF(AND(INDIRECT("H385")&gt;=INDIRECT("F385"),AA385=0,AB385=0,AC385=0,AF385=0),"Yes",IF(AND(INDIRECT("H385")&lt;INDIRECT("F385"),AA385=0,AB385=0,AC385=0,AF385=0),"No","N/A"))</f>
        <v>N/A</v>
      </c>
      <c r="J385" s="174" t="str">
        <f t="shared" ca="1" si="14"/>
        <v>No Error</v>
      </c>
      <c r="K385" s="174"/>
      <c r="L385" s="174"/>
      <c r="AA385" s="61">
        <f ca="1">COUNTBLANK(INDIRECT("C385"))</f>
        <v>1</v>
      </c>
      <c r="AB385" s="61">
        <f ca="1">COUNTBLANK(INDIRECT("d385"))</f>
        <v>1</v>
      </c>
      <c r="AC385" s="61">
        <f ca="1">COUNTBLANK(INDIRECT("e385"))</f>
        <v>1</v>
      </c>
      <c r="AD385" s="61">
        <f ca="1">COUNTBLANK(INDIRECT("f385"))</f>
        <v>1</v>
      </c>
      <c r="AE385" s="61">
        <f ca="1">COUNTBLANK(INDIRECT("g385"))</f>
        <v>1</v>
      </c>
      <c r="AF385" s="61">
        <f ca="1">COUNTBLANK(INDIRECT("h385"))</f>
        <v>1</v>
      </c>
      <c r="AG385" s="61">
        <f ca="1">COUNTBLANK(INDIRECT("b385"))</f>
        <v>1</v>
      </c>
    </row>
    <row r="386" spans="1:33" x14ac:dyDescent="0.25">
      <c r="A386" s="2">
        <v>54</v>
      </c>
      <c r="B386" s="63"/>
      <c r="C386" s="56"/>
      <c r="D386" s="56"/>
      <c r="E386" s="56"/>
      <c r="F386" s="56"/>
      <c r="G386" s="56"/>
      <c r="H386" s="56"/>
      <c r="I386" s="117" t="str">
        <f ca="1">IF(AND(INDIRECT("H386")&gt;=INDIRECT("F386"),AA386=0,AB386=0,AC386=0,AF386=0),"Yes",IF(AND(INDIRECT("H386")&lt;INDIRECT("F386"),AA386=0,AB386=0,AC386=0,AF386=0),"No","N/A"))</f>
        <v>N/A</v>
      </c>
      <c r="J386" s="174" t="str">
        <f t="shared" ca="1" si="14"/>
        <v>No Error</v>
      </c>
      <c r="K386" s="174"/>
      <c r="L386" s="174"/>
      <c r="AA386" s="61">
        <f ca="1">COUNTBLANK(INDIRECT("C386"))</f>
        <v>1</v>
      </c>
      <c r="AB386" s="61">
        <f ca="1">COUNTBLANK(INDIRECT("d386"))</f>
        <v>1</v>
      </c>
      <c r="AC386" s="61">
        <f ca="1">COUNTBLANK(INDIRECT("e386"))</f>
        <v>1</v>
      </c>
      <c r="AD386" s="61">
        <f ca="1">COUNTBLANK(INDIRECT("f386"))</f>
        <v>1</v>
      </c>
      <c r="AE386" s="61">
        <f ca="1">COUNTBLANK(INDIRECT("g386"))</f>
        <v>1</v>
      </c>
      <c r="AF386" s="61">
        <f ca="1">COUNTBLANK(INDIRECT("h386"))</f>
        <v>1</v>
      </c>
      <c r="AG386" s="61">
        <f ca="1">COUNTBLANK(INDIRECT("b386"))</f>
        <v>1</v>
      </c>
    </row>
    <row r="387" spans="1:33" x14ac:dyDescent="0.25">
      <c r="A387" s="2">
        <v>55</v>
      </c>
      <c r="B387" s="63"/>
      <c r="C387" s="56"/>
      <c r="D387" s="56"/>
      <c r="E387" s="56"/>
      <c r="F387" s="56"/>
      <c r="G387" s="56"/>
      <c r="H387" s="56"/>
      <c r="I387" s="117" t="str">
        <f ca="1">IF(AND(INDIRECT("H387")&gt;=INDIRECT("F387"),AA387=0,AB387=0,AC387=0,AF387=0),"Yes",IF(AND(INDIRECT("H387")&lt;INDIRECT("F387"),AA387=0,AB387=0,AC387=0,AF387=0),"No","N/A"))</f>
        <v>N/A</v>
      </c>
      <c r="J387" s="174" t="str">
        <f t="shared" ca="1" si="14"/>
        <v>No Error</v>
      </c>
      <c r="K387" s="174"/>
      <c r="L387" s="174"/>
      <c r="AA387" s="61">
        <f ca="1">COUNTBLANK(INDIRECT("C387"))</f>
        <v>1</v>
      </c>
      <c r="AB387" s="61">
        <f ca="1">COUNTBLANK(INDIRECT("d387"))</f>
        <v>1</v>
      </c>
      <c r="AC387" s="61">
        <f ca="1">COUNTBLANK(INDIRECT("e387"))</f>
        <v>1</v>
      </c>
      <c r="AD387" s="61">
        <f ca="1">COUNTBLANK(INDIRECT("f387"))</f>
        <v>1</v>
      </c>
      <c r="AE387" s="61">
        <f ca="1">COUNTBLANK(INDIRECT("g387"))</f>
        <v>1</v>
      </c>
      <c r="AF387" s="61">
        <f ca="1">COUNTBLANK(INDIRECT("h387"))</f>
        <v>1</v>
      </c>
      <c r="AG387" s="61">
        <f ca="1">COUNTBLANK(INDIRECT("b387"))</f>
        <v>1</v>
      </c>
    </row>
    <row r="388" spans="1:33" x14ac:dyDescent="0.25">
      <c r="A388" s="2">
        <v>56</v>
      </c>
      <c r="B388" s="63"/>
      <c r="C388" s="56"/>
      <c r="D388" s="56"/>
      <c r="E388" s="56"/>
      <c r="F388" s="56"/>
      <c r="G388" s="56"/>
      <c r="H388" s="56"/>
      <c r="I388" s="117" t="str">
        <f ca="1">IF(AND(INDIRECT("H388")&gt;=INDIRECT("F388"),AA388=0,AB388=0,AC388=0,AF388=0),"Yes",IF(AND(INDIRECT("H388")&lt;INDIRECT("F388"),AA388=0,AB388=0,AC388=0,AF388=0),"No","N/A"))</f>
        <v>N/A</v>
      </c>
      <c r="J388" s="174" t="str">
        <f t="shared" ca="1" si="14"/>
        <v>No Error</v>
      </c>
      <c r="K388" s="174"/>
      <c r="L388" s="174"/>
      <c r="AA388" s="61">
        <f ca="1">COUNTBLANK(INDIRECT("C388"))</f>
        <v>1</v>
      </c>
      <c r="AB388" s="61">
        <f ca="1">COUNTBLANK(INDIRECT("d388"))</f>
        <v>1</v>
      </c>
      <c r="AC388" s="61">
        <f ca="1">COUNTBLANK(INDIRECT("e388"))</f>
        <v>1</v>
      </c>
      <c r="AD388" s="61">
        <f ca="1">COUNTBLANK(INDIRECT("f388"))</f>
        <v>1</v>
      </c>
      <c r="AE388" s="61">
        <f ca="1">COUNTBLANK(INDIRECT("g388"))</f>
        <v>1</v>
      </c>
      <c r="AF388" s="61">
        <f ca="1">COUNTBLANK(INDIRECT("h388"))</f>
        <v>1</v>
      </c>
      <c r="AG388" s="61">
        <f ca="1">COUNTBLANK(INDIRECT("b388"))</f>
        <v>1</v>
      </c>
    </row>
    <row r="389" spans="1:33" x14ac:dyDescent="0.25">
      <c r="A389" s="2">
        <v>57</v>
      </c>
      <c r="B389" s="63"/>
      <c r="C389" s="56"/>
      <c r="D389" s="56"/>
      <c r="E389" s="56"/>
      <c r="F389" s="56"/>
      <c r="G389" s="56"/>
      <c r="H389" s="56"/>
      <c r="I389" s="117" t="str">
        <f ca="1">IF(AND(INDIRECT("H389")&gt;=INDIRECT("F389"),AA389=0,AB389=0,AC389=0,AF389=0),"Yes",IF(AND(INDIRECT("H389")&lt;INDIRECT("F389"),AA389=0,AB389=0,AC389=0,AF389=0),"No","N/A"))</f>
        <v>N/A</v>
      </c>
      <c r="J389" s="174" t="str">
        <f t="shared" ca="1" si="14"/>
        <v>No Error</v>
      </c>
      <c r="K389" s="174"/>
      <c r="L389" s="174"/>
      <c r="AA389" s="61">
        <f ca="1">COUNTBLANK(INDIRECT("C389"))</f>
        <v>1</v>
      </c>
      <c r="AB389" s="61">
        <f ca="1">COUNTBLANK(INDIRECT("d389"))</f>
        <v>1</v>
      </c>
      <c r="AC389" s="61">
        <f ca="1">COUNTBLANK(INDIRECT("e389"))</f>
        <v>1</v>
      </c>
      <c r="AD389" s="61">
        <f ca="1">COUNTBLANK(INDIRECT("f389"))</f>
        <v>1</v>
      </c>
      <c r="AE389" s="61">
        <f ca="1">COUNTBLANK(INDIRECT("g389"))</f>
        <v>1</v>
      </c>
      <c r="AF389" s="61">
        <f ca="1">COUNTBLANK(INDIRECT("h389"))</f>
        <v>1</v>
      </c>
      <c r="AG389" s="61">
        <f ca="1">COUNTBLANK(INDIRECT("b389"))</f>
        <v>1</v>
      </c>
    </row>
    <row r="390" spans="1:33" x14ac:dyDescent="0.25">
      <c r="A390" s="2">
        <v>58</v>
      </c>
      <c r="B390" s="63"/>
      <c r="C390" s="56"/>
      <c r="D390" s="56"/>
      <c r="E390" s="56"/>
      <c r="F390" s="56"/>
      <c r="G390" s="56"/>
      <c r="H390" s="56"/>
      <c r="I390" s="117" t="str">
        <f ca="1">IF(AND(INDIRECT("H390")&gt;=INDIRECT("F390"),AA390=0,AB390=0,AC390=0,AF390=0),"Yes",IF(AND(INDIRECT("H390")&lt;INDIRECT("F390"),AA390=0,AB390=0,AC390=0,AF390=0),"No","N/A"))</f>
        <v>N/A</v>
      </c>
      <c r="J390" s="174" t="str">
        <f t="shared" ca="1" si="14"/>
        <v>No Error</v>
      </c>
      <c r="K390" s="174"/>
      <c r="L390" s="174"/>
      <c r="AA390" s="61">
        <f ca="1">COUNTBLANK(INDIRECT("C390"))</f>
        <v>1</v>
      </c>
      <c r="AB390" s="61">
        <f ca="1">COUNTBLANK(INDIRECT("d390"))</f>
        <v>1</v>
      </c>
      <c r="AC390" s="61">
        <f ca="1">COUNTBLANK(INDIRECT("e390"))</f>
        <v>1</v>
      </c>
      <c r="AD390" s="61">
        <f ca="1">COUNTBLANK(INDIRECT("f390"))</f>
        <v>1</v>
      </c>
      <c r="AE390" s="61">
        <f ca="1">COUNTBLANK(INDIRECT("g390"))</f>
        <v>1</v>
      </c>
      <c r="AF390" s="61">
        <f ca="1">COUNTBLANK(INDIRECT("h390"))</f>
        <v>1</v>
      </c>
      <c r="AG390" s="61">
        <f ca="1">COUNTBLANK(INDIRECT("b390"))</f>
        <v>1</v>
      </c>
    </row>
    <row r="391" spans="1:33" x14ac:dyDescent="0.25">
      <c r="A391" s="2">
        <v>59</v>
      </c>
      <c r="B391" s="63"/>
      <c r="C391" s="56"/>
      <c r="D391" s="56"/>
      <c r="E391" s="56"/>
      <c r="F391" s="56"/>
      <c r="G391" s="56"/>
      <c r="H391" s="56"/>
      <c r="I391" s="117" t="str">
        <f ca="1">IF(AND(INDIRECT("H391")&gt;=INDIRECT("F391"),AA391=0,AB391=0,AC391=0,AF391=0),"Yes",IF(AND(INDIRECT("H391")&lt;INDIRECT("F391"),AA391=0,AB391=0,AC391=0,AF391=0),"No","N/A"))</f>
        <v>N/A</v>
      </c>
      <c r="J391" s="174" t="str">
        <f t="shared" ca="1" si="14"/>
        <v>No Error</v>
      </c>
      <c r="K391" s="174"/>
      <c r="L391" s="174"/>
      <c r="AA391" s="61">
        <f ca="1">COUNTBLANK(INDIRECT("C391"))</f>
        <v>1</v>
      </c>
      <c r="AB391" s="61">
        <f ca="1">COUNTBLANK(INDIRECT("d391"))</f>
        <v>1</v>
      </c>
      <c r="AC391" s="61">
        <f ca="1">COUNTBLANK(INDIRECT("e391"))</f>
        <v>1</v>
      </c>
      <c r="AD391" s="61">
        <f ca="1">COUNTBLANK(INDIRECT("f391"))</f>
        <v>1</v>
      </c>
      <c r="AE391" s="61">
        <f ca="1">COUNTBLANK(INDIRECT("g391"))</f>
        <v>1</v>
      </c>
      <c r="AF391" s="61">
        <f ca="1">COUNTBLANK(INDIRECT("h391"))</f>
        <v>1</v>
      </c>
      <c r="AG391" s="61">
        <f ca="1">COUNTBLANK(INDIRECT("b391"))</f>
        <v>1</v>
      </c>
    </row>
    <row r="392" spans="1:33" x14ac:dyDescent="0.25">
      <c r="A392" s="2">
        <v>60</v>
      </c>
      <c r="B392" s="63"/>
      <c r="C392" s="56"/>
      <c r="D392" s="56"/>
      <c r="E392" s="56"/>
      <c r="F392" s="56"/>
      <c r="G392" s="56"/>
      <c r="H392" s="56"/>
      <c r="I392" s="117" t="str">
        <f ca="1">IF(AND(INDIRECT("H392")&gt;=INDIRECT("F392"),AA392=0,AB392=0,AC392=0,AF392=0),"Yes",IF(AND(INDIRECT("H392")&lt;INDIRECT("F392"),AA392=0,AB392=0,AC392=0,AF392=0),"No","N/A"))</f>
        <v>N/A</v>
      </c>
      <c r="J392" s="174" t="str">
        <f t="shared" ca="1" si="14"/>
        <v>No Error</v>
      </c>
      <c r="K392" s="174"/>
      <c r="L392" s="174"/>
      <c r="AA392" s="61">
        <f ca="1">COUNTBLANK(INDIRECT("C392"))</f>
        <v>1</v>
      </c>
      <c r="AB392" s="61">
        <f ca="1">COUNTBLANK(INDIRECT("d392"))</f>
        <v>1</v>
      </c>
      <c r="AC392" s="61">
        <f ca="1">COUNTBLANK(INDIRECT("e392"))</f>
        <v>1</v>
      </c>
      <c r="AD392" s="61">
        <f ca="1">COUNTBLANK(INDIRECT("f392"))</f>
        <v>1</v>
      </c>
      <c r="AE392" s="61">
        <f ca="1">COUNTBLANK(INDIRECT("g392"))</f>
        <v>1</v>
      </c>
      <c r="AF392" s="61">
        <f ca="1">COUNTBLANK(INDIRECT("h392"))</f>
        <v>1</v>
      </c>
      <c r="AG392" s="61">
        <f ca="1">COUNTBLANK(INDIRECT("b392"))</f>
        <v>1</v>
      </c>
    </row>
    <row r="393" spans="1:33" x14ac:dyDescent="0.25">
      <c r="A393" s="2">
        <v>61</v>
      </c>
      <c r="B393" s="63"/>
      <c r="C393" s="56"/>
      <c r="D393" s="56"/>
      <c r="E393" s="56"/>
      <c r="F393" s="56"/>
      <c r="G393" s="56"/>
      <c r="H393" s="56"/>
      <c r="I393" s="117" t="str">
        <f ca="1">IF(AND(INDIRECT("H393")&gt;=INDIRECT("F393"),AA393=0,AB393=0,AC393=0,AF393=0),"Yes",IF(AND(INDIRECT("H393")&lt;INDIRECT("F393"),AA393=0,AB393=0,AC393=0,AF393=0),"No","N/A"))</f>
        <v>N/A</v>
      </c>
      <c r="J393" s="174" t="str">
        <f t="shared" ca="1" si="14"/>
        <v>No Error</v>
      </c>
      <c r="K393" s="174"/>
      <c r="L393" s="174"/>
      <c r="AA393" s="61">
        <f ca="1">COUNTBLANK(INDIRECT("C393"))</f>
        <v>1</v>
      </c>
      <c r="AB393" s="61">
        <f ca="1">COUNTBLANK(INDIRECT("d393"))</f>
        <v>1</v>
      </c>
      <c r="AC393" s="61">
        <f ca="1">COUNTBLANK(INDIRECT("e393"))</f>
        <v>1</v>
      </c>
      <c r="AD393" s="61">
        <f ca="1">COUNTBLANK(INDIRECT("f393"))</f>
        <v>1</v>
      </c>
      <c r="AE393" s="61">
        <f ca="1">COUNTBLANK(INDIRECT("g393"))</f>
        <v>1</v>
      </c>
      <c r="AF393" s="61">
        <f ca="1">COUNTBLANK(INDIRECT("h393"))</f>
        <v>1</v>
      </c>
      <c r="AG393" s="61">
        <f ca="1">COUNTBLANK(INDIRECT("b393"))</f>
        <v>1</v>
      </c>
    </row>
    <row r="394" spans="1:33" x14ac:dyDescent="0.25">
      <c r="A394" s="2">
        <v>62</v>
      </c>
      <c r="B394" s="63"/>
      <c r="C394" s="56"/>
      <c r="D394" s="56"/>
      <c r="E394" s="56"/>
      <c r="F394" s="56"/>
      <c r="G394" s="56"/>
      <c r="H394" s="56"/>
      <c r="I394" s="117" t="str">
        <f ca="1">IF(AND(INDIRECT("H394")&gt;=INDIRECT("F394"),AA394=0,AB394=0,AC394=0,AF394=0),"Yes",IF(AND(INDIRECT("H394")&lt;INDIRECT("F394"),AA394=0,AB394=0,AC394=0,AF394=0),"No","N/A"))</f>
        <v>N/A</v>
      </c>
      <c r="J394" s="174" t="str">
        <f t="shared" ca="1" si="14"/>
        <v>No Error</v>
      </c>
      <c r="K394" s="174"/>
      <c r="L394" s="174"/>
      <c r="AA394" s="61">
        <f ca="1">COUNTBLANK(INDIRECT("C394"))</f>
        <v>1</v>
      </c>
      <c r="AB394" s="61">
        <f ca="1">COUNTBLANK(INDIRECT("d394"))</f>
        <v>1</v>
      </c>
      <c r="AC394" s="61">
        <f ca="1">COUNTBLANK(INDIRECT("e394"))</f>
        <v>1</v>
      </c>
      <c r="AD394" s="61">
        <f ca="1">COUNTBLANK(INDIRECT("f394"))</f>
        <v>1</v>
      </c>
      <c r="AE394" s="61">
        <f ca="1">COUNTBLANK(INDIRECT("g394"))</f>
        <v>1</v>
      </c>
      <c r="AF394" s="61">
        <f ca="1">COUNTBLANK(INDIRECT("h394"))</f>
        <v>1</v>
      </c>
      <c r="AG394" s="61">
        <f ca="1">COUNTBLANK(INDIRECT("b394"))</f>
        <v>1</v>
      </c>
    </row>
    <row r="395" spans="1:33" x14ac:dyDescent="0.25">
      <c r="A395" s="2">
        <v>63</v>
      </c>
      <c r="B395" s="63"/>
      <c r="C395" s="56"/>
      <c r="D395" s="56"/>
      <c r="E395" s="56"/>
      <c r="F395" s="56"/>
      <c r="G395" s="56"/>
      <c r="H395" s="56"/>
      <c r="I395" s="117" t="str">
        <f ca="1">IF(AND(INDIRECT("H395")&gt;=INDIRECT("F395"),AA395=0,AB395=0,AC395=0,AF395=0),"Yes",IF(AND(INDIRECT("H395")&lt;INDIRECT("F395"),AA395=0,AB395=0,AC395=0,AF395=0),"No","N/A"))</f>
        <v>N/A</v>
      </c>
      <c r="J395" s="174" t="str">
        <f t="shared" ca="1" si="14"/>
        <v>No Error</v>
      </c>
      <c r="K395" s="174"/>
      <c r="L395" s="174"/>
      <c r="AA395" s="61">
        <f ca="1">COUNTBLANK(INDIRECT("C395"))</f>
        <v>1</v>
      </c>
      <c r="AB395" s="61">
        <f ca="1">COUNTBLANK(INDIRECT("d395"))</f>
        <v>1</v>
      </c>
      <c r="AC395" s="61">
        <f ca="1">COUNTBLANK(INDIRECT("e395"))</f>
        <v>1</v>
      </c>
      <c r="AD395" s="61">
        <f ca="1">COUNTBLANK(INDIRECT("f395"))</f>
        <v>1</v>
      </c>
      <c r="AE395" s="61">
        <f ca="1">COUNTBLANK(INDIRECT("g395"))</f>
        <v>1</v>
      </c>
      <c r="AF395" s="61">
        <f ca="1">COUNTBLANK(INDIRECT("h395"))</f>
        <v>1</v>
      </c>
      <c r="AG395" s="61">
        <f ca="1">COUNTBLANK(INDIRECT("b395"))</f>
        <v>1</v>
      </c>
    </row>
    <row r="396" spans="1:33" x14ac:dyDescent="0.25">
      <c r="A396" s="2">
        <v>64</v>
      </c>
      <c r="B396" s="63"/>
      <c r="C396" s="56"/>
      <c r="D396" s="56"/>
      <c r="E396" s="56"/>
      <c r="F396" s="56"/>
      <c r="G396" s="56"/>
      <c r="H396" s="56"/>
      <c r="I396" s="117" t="str">
        <f ca="1">IF(AND(INDIRECT("H396")&gt;=INDIRECT("F396"),AA396=0,AB396=0,AC396=0,AF396=0),"Yes",IF(AND(INDIRECT("H396")&lt;INDIRECT("F396"),AA396=0,AB396=0,AC396=0,AF396=0),"No","N/A"))</f>
        <v>N/A</v>
      </c>
      <c r="J396" s="174" t="str">
        <f t="shared" ca="1" si="14"/>
        <v>No Error</v>
      </c>
      <c r="K396" s="174"/>
      <c r="L396" s="174"/>
      <c r="AA396" s="61">
        <f ca="1">COUNTBLANK(INDIRECT("C396"))</f>
        <v>1</v>
      </c>
      <c r="AB396" s="61">
        <f ca="1">COUNTBLANK(INDIRECT("d396"))</f>
        <v>1</v>
      </c>
      <c r="AC396" s="61">
        <f ca="1">COUNTBLANK(INDIRECT("e396"))</f>
        <v>1</v>
      </c>
      <c r="AD396" s="61">
        <f ca="1">COUNTBLANK(INDIRECT("f396"))</f>
        <v>1</v>
      </c>
      <c r="AE396" s="61">
        <f ca="1">COUNTBLANK(INDIRECT("g396"))</f>
        <v>1</v>
      </c>
      <c r="AF396" s="61">
        <f ca="1">COUNTBLANK(INDIRECT("h396"))</f>
        <v>1</v>
      </c>
      <c r="AG396" s="61">
        <f ca="1">COUNTBLANK(INDIRECT("b396"))</f>
        <v>1</v>
      </c>
    </row>
    <row r="397" spans="1:33" x14ac:dyDescent="0.25">
      <c r="A397" s="2">
        <v>65</v>
      </c>
      <c r="B397" s="63"/>
      <c r="C397" s="56"/>
      <c r="D397" s="56"/>
      <c r="E397" s="56"/>
      <c r="F397" s="56"/>
      <c r="G397" s="56"/>
      <c r="H397" s="56"/>
      <c r="I397" s="117" t="str">
        <f ca="1">IF(AND(INDIRECT("H397")&gt;=INDIRECT("F397"),AA397=0,AB397=0,AC397=0,AF397=0),"Yes",IF(AND(INDIRECT("H397")&lt;INDIRECT("F397"),AA397=0,AB397=0,AC397=0,AF397=0),"No","N/A"))</f>
        <v>N/A</v>
      </c>
      <c r="J397" s="174" t="str">
        <f t="shared" ref="J397:J460" ca="1" si="15">IF(AND(AF397=0,AG397=0,AA397=0,AB397=0,AC397=0,AD397=0),"No Error",IF(AND(AF397=1,AG397=1,AA397=1,AB397=1,AC397=1,AD397=1),"No Error","Please supply all information"))</f>
        <v>No Error</v>
      </c>
      <c r="K397" s="174"/>
      <c r="L397" s="174"/>
      <c r="AA397" s="61">
        <f ca="1">COUNTBLANK(INDIRECT("C397"))</f>
        <v>1</v>
      </c>
      <c r="AB397" s="61">
        <f ca="1">COUNTBLANK(INDIRECT("d397"))</f>
        <v>1</v>
      </c>
      <c r="AC397" s="61">
        <f ca="1">COUNTBLANK(INDIRECT("e397"))</f>
        <v>1</v>
      </c>
      <c r="AD397" s="61">
        <f ca="1">COUNTBLANK(INDIRECT("f397"))</f>
        <v>1</v>
      </c>
      <c r="AE397" s="61">
        <f ca="1">COUNTBLANK(INDIRECT("g397"))</f>
        <v>1</v>
      </c>
      <c r="AF397" s="61">
        <f ca="1">COUNTBLANK(INDIRECT("h397"))</f>
        <v>1</v>
      </c>
      <c r="AG397" s="61">
        <f ca="1">COUNTBLANK(INDIRECT("b397"))</f>
        <v>1</v>
      </c>
    </row>
    <row r="398" spans="1:33" x14ac:dyDescent="0.25">
      <c r="A398" s="2">
        <v>66</v>
      </c>
      <c r="B398" s="63"/>
      <c r="C398" s="56"/>
      <c r="D398" s="56"/>
      <c r="E398" s="56"/>
      <c r="F398" s="56"/>
      <c r="G398" s="56"/>
      <c r="H398" s="56"/>
      <c r="I398" s="117" t="str">
        <f ca="1">IF(AND(INDIRECT("H398")&gt;=INDIRECT("F398"),AA398=0,AB398=0,AC398=0,AF398=0),"Yes",IF(AND(INDIRECT("H398")&lt;INDIRECT("F398"),AA398=0,AB398=0,AC398=0,AF398=0),"No","N/A"))</f>
        <v>N/A</v>
      </c>
      <c r="J398" s="174" t="str">
        <f t="shared" ca="1" si="15"/>
        <v>No Error</v>
      </c>
      <c r="K398" s="174"/>
      <c r="L398" s="174"/>
      <c r="AA398" s="61">
        <f ca="1">COUNTBLANK(INDIRECT("C398"))</f>
        <v>1</v>
      </c>
      <c r="AB398" s="61">
        <f ca="1">COUNTBLANK(INDIRECT("d398"))</f>
        <v>1</v>
      </c>
      <c r="AC398" s="61">
        <f ca="1">COUNTBLANK(INDIRECT("e398"))</f>
        <v>1</v>
      </c>
      <c r="AD398" s="61">
        <f ca="1">COUNTBLANK(INDIRECT("f398"))</f>
        <v>1</v>
      </c>
      <c r="AE398" s="61">
        <f ca="1">COUNTBLANK(INDIRECT("g398"))</f>
        <v>1</v>
      </c>
      <c r="AF398" s="61">
        <f ca="1">COUNTBLANK(INDIRECT("h398"))</f>
        <v>1</v>
      </c>
      <c r="AG398" s="61">
        <f ca="1">COUNTBLANK(INDIRECT("b398"))</f>
        <v>1</v>
      </c>
    </row>
    <row r="399" spans="1:33" x14ac:dyDescent="0.25">
      <c r="A399" s="2">
        <v>67</v>
      </c>
      <c r="B399" s="63"/>
      <c r="C399" s="56"/>
      <c r="D399" s="56"/>
      <c r="E399" s="56"/>
      <c r="F399" s="56"/>
      <c r="G399" s="56"/>
      <c r="H399" s="56"/>
      <c r="I399" s="117" t="str">
        <f ca="1">IF(AND(INDIRECT("H399")&gt;=INDIRECT("F399"),AA399=0,AB399=0,AC399=0,AF399=0),"Yes",IF(AND(INDIRECT("H399")&lt;INDIRECT("F399"),AA399=0,AB399=0,AC399=0,AF399=0),"No","N/A"))</f>
        <v>N/A</v>
      </c>
      <c r="J399" s="174" t="str">
        <f t="shared" ca="1" si="15"/>
        <v>No Error</v>
      </c>
      <c r="K399" s="174"/>
      <c r="L399" s="174"/>
      <c r="AA399" s="61">
        <f ca="1">COUNTBLANK(INDIRECT("C399"))</f>
        <v>1</v>
      </c>
      <c r="AB399" s="61">
        <f ca="1">COUNTBLANK(INDIRECT("d399"))</f>
        <v>1</v>
      </c>
      <c r="AC399" s="61">
        <f ca="1">COUNTBLANK(INDIRECT("e399"))</f>
        <v>1</v>
      </c>
      <c r="AD399" s="61">
        <f ca="1">COUNTBLANK(INDIRECT("f399"))</f>
        <v>1</v>
      </c>
      <c r="AE399" s="61">
        <f ca="1">COUNTBLANK(INDIRECT("g399"))</f>
        <v>1</v>
      </c>
      <c r="AF399" s="61">
        <f ca="1">COUNTBLANK(INDIRECT("h399"))</f>
        <v>1</v>
      </c>
      <c r="AG399" s="61">
        <f ca="1">COUNTBLANK(INDIRECT("b399"))</f>
        <v>1</v>
      </c>
    </row>
    <row r="400" spans="1:33" x14ac:dyDescent="0.25">
      <c r="A400" s="2">
        <v>68</v>
      </c>
      <c r="B400" s="63"/>
      <c r="C400" s="56"/>
      <c r="D400" s="56"/>
      <c r="E400" s="56"/>
      <c r="F400" s="56"/>
      <c r="G400" s="56"/>
      <c r="H400" s="56"/>
      <c r="I400" s="117" t="str">
        <f ca="1">IF(AND(INDIRECT("H400")&gt;=INDIRECT("F400"),AA400=0,AB400=0,AC400=0,AF400=0),"Yes",IF(AND(INDIRECT("H400")&lt;INDIRECT("F400"),AA400=0,AB400=0,AC400=0,AF400=0),"No","N/A"))</f>
        <v>N/A</v>
      </c>
      <c r="J400" s="174" t="str">
        <f t="shared" ca="1" si="15"/>
        <v>No Error</v>
      </c>
      <c r="K400" s="174"/>
      <c r="L400" s="174"/>
      <c r="AA400" s="61">
        <f ca="1">COUNTBLANK(INDIRECT("C400"))</f>
        <v>1</v>
      </c>
      <c r="AB400" s="61">
        <f ca="1">COUNTBLANK(INDIRECT("d400"))</f>
        <v>1</v>
      </c>
      <c r="AC400" s="61">
        <f ca="1">COUNTBLANK(INDIRECT("e400"))</f>
        <v>1</v>
      </c>
      <c r="AD400" s="61">
        <f ca="1">COUNTBLANK(INDIRECT("f400"))</f>
        <v>1</v>
      </c>
      <c r="AE400" s="61">
        <f ca="1">COUNTBLANK(INDIRECT("g400"))</f>
        <v>1</v>
      </c>
      <c r="AF400" s="61">
        <f ca="1">COUNTBLANK(INDIRECT("h400"))</f>
        <v>1</v>
      </c>
      <c r="AG400" s="61">
        <f ca="1">COUNTBLANK(INDIRECT("b400"))</f>
        <v>1</v>
      </c>
    </row>
    <row r="401" spans="1:33" x14ac:dyDescent="0.25">
      <c r="A401" s="2">
        <v>69</v>
      </c>
      <c r="B401" s="63"/>
      <c r="C401" s="56"/>
      <c r="D401" s="56"/>
      <c r="E401" s="56"/>
      <c r="F401" s="56"/>
      <c r="G401" s="56"/>
      <c r="H401" s="56"/>
      <c r="I401" s="117" t="str">
        <f ca="1">IF(AND(INDIRECT("H401")&gt;=INDIRECT("F401"),AA401=0,AB401=0,AC401=0,AF401=0),"Yes",IF(AND(INDIRECT("H401")&lt;INDIRECT("F401"),AA401=0,AB401=0,AC401=0,AF401=0),"No","N/A"))</f>
        <v>N/A</v>
      </c>
      <c r="J401" s="174" t="str">
        <f t="shared" ca="1" si="15"/>
        <v>No Error</v>
      </c>
      <c r="K401" s="174"/>
      <c r="L401" s="174"/>
      <c r="AA401" s="61">
        <f ca="1">COUNTBLANK(INDIRECT("C401"))</f>
        <v>1</v>
      </c>
      <c r="AB401" s="61">
        <f ca="1">COUNTBLANK(INDIRECT("d401"))</f>
        <v>1</v>
      </c>
      <c r="AC401" s="61">
        <f ca="1">COUNTBLANK(INDIRECT("e401"))</f>
        <v>1</v>
      </c>
      <c r="AD401" s="61">
        <f ca="1">COUNTBLANK(INDIRECT("f401"))</f>
        <v>1</v>
      </c>
      <c r="AE401" s="61">
        <f ca="1">COUNTBLANK(INDIRECT("g401"))</f>
        <v>1</v>
      </c>
      <c r="AF401" s="61">
        <f ca="1">COUNTBLANK(INDIRECT("h401"))</f>
        <v>1</v>
      </c>
      <c r="AG401" s="61">
        <f ca="1">COUNTBLANK(INDIRECT("b401"))</f>
        <v>1</v>
      </c>
    </row>
    <row r="402" spans="1:33" x14ac:dyDescent="0.25">
      <c r="A402" s="2">
        <v>70</v>
      </c>
      <c r="B402" s="63"/>
      <c r="C402" s="56"/>
      <c r="D402" s="56"/>
      <c r="E402" s="56"/>
      <c r="F402" s="56"/>
      <c r="G402" s="56"/>
      <c r="H402" s="56"/>
      <c r="I402" s="117" t="str">
        <f ca="1">IF(AND(INDIRECT("H402")&gt;=INDIRECT("F402"),AA402=0,AB402=0,AC402=0,AF402=0),"Yes",IF(AND(INDIRECT("H402")&lt;INDIRECT("F402"),AA402=0,AB402=0,AC402=0,AF402=0),"No","N/A"))</f>
        <v>N/A</v>
      </c>
      <c r="J402" s="174" t="str">
        <f t="shared" ca="1" si="15"/>
        <v>No Error</v>
      </c>
      <c r="K402" s="174"/>
      <c r="L402" s="174"/>
      <c r="AA402" s="61">
        <f ca="1">COUNTBLANK(INDIRECT("C402"))</f>
        <v>1</v>
      </c>
      <c r="AB402" s="61">
        <f ca="1">COUNTBLANK(INDIRECT("d402"))</f>
        <v>1</v>
      </c>
      <c r="AC402" s="61">
        <f ca="1">COUNTBLANK(INDIRECT("e402"))</f>
        <v>1</v>
      </c>
      <c r="AD402" s="61">
        <f ca="1">COUNTBLANK(INDIRECT("f402"))</f>
        <v>1</v>
      </c>
      <c r="AE402" s="61">
        <f ca="1">COUNTBLANK(INDIRECT("g402"))</f>
        <v>1</v>
      </c>
      <c r="AF402" s="61">
        <f ca="1">COUNTBLANK(INDIRECT("h402"))</f>
        <v>1</v>
      </c>
      <c r="AG402" s="61">
        <f ca="1">COUNTBLANK(INDIRECT("b402"))</f>
        <v>1</v>
      </c>
    </row>
    <row r="403" spans="1:33" x14ac:dyDescent="0.25">
      <c r="A403" s="2">
        <v>71</v>
      </c>
      <c r="B403" s="63"/>
      <c r="C403" s="56"/>
      <c r="D403" s="56"/>
      <c r="E403" s="56"/>
      <c r="F403" s="56"/>
      <c r="G403" s="56"/>
      <c r="H403" s="56"/>
      <c r="I403" s="117" t="str">
        <f ca="1">IF(AND(INDIRECT("H403")&gt;=INDIRECT("F403"),AA403=0,AB403=0,AC403=0,AF403=0),"Yes",IF(AND(INDIRECT("H403")&lt;INDIRECT("F403"),AA403=0,AB403=0,AC403=0,AF403=0),"No","N/A"))</f>
        <v>N/A</v>
      </c>
      <c r="J403" s="174" t="str">
        <f t="shared" ca="1" si="15"/>
        <v>No Error</v>
      </c>
      <c r="K403" s="174"/>
      <c r="L403" s="174"/>
      <c r="AA403" s="61">
        <f ca="1">COUNTBLANK(INDIRECT("C403"))</f>
        <v>1</v>
      </c>
      <c r="AB403" s="61">
        <f ca="1">COUNTBLANK(INDIRECT("d403"))</f>
        <v>1</v>
      </c>
      <c r="AC403" s="61">
        <f ca="1">COUNTBLANK(INDIRECT("e403"))</f>
        <v>1</v>
      </c>
      <c r="AD403" s="61">
        <f ca="1">COUNTBLANK(INDIRECT("f403"))</f>
        <v>1</v>
      </c>
      <c r="AE403" s="61">
        <f ca="1">COUNTBLANK(INDIRECT("g403"))</f>
        <v>1</v>
      </c>
      <c r="AF403" s="61">
        <f ca="1">COUNTBLANK(INDIRECT("h403"))</f>
        <v>1</v>
      </c>
      <c r="AG403" s="61">
        <f ca="1">COUNTBLANK(INDIRECT("b403"))</f>
        <v>1</v>
      </c>
    </row>
    <row r="404" spans="1:33" x14ac:dyDescent="0.25">
      <c r="A404" s="2">
        <v>72</v>
      </c>
      <c r="B404" s="63"/>
      <c r="C404" s="56"/>
      <c r="D404" s="56"/>
      <c r="E404" s="56"/>
      <c r="F404" s="56"/>
      <c r="G404" s="56"/>
      <c r="H404" s="56"/>
      <c r="I404" s="117" t="str">
        <f ca="1">IF(AND(INDIRECT("H404")&gt;=INDIRECT("F404"),AA404=0,AB404=0,AC404=0,AF404=0),"Yes",IF(AND(INDIRECT("H404")&lt;INDIRECT("F404"),AA404=0,AB404=0,AC404=0,AF404=0),"No","N/A"))</f>
        <v>N/A</v>
      </c>
      <c r="J404" s="174" t="str">
        <f t="shared" ca="1" si="15"/>
        <v>No Error</v>
      </c>
      <c r="K404" s="174"/>
      <c r="L404" s="174"/>
      <c r="AA404" s="61">
        <f ca="1">COUNTBLANK(INDIRECT("C404"))</f>
        <v>1</v>
      </c>
      <c r="AB404" s="61">
        <f ca="1">COUNTBLANK(INDIRECT("d404"))</f>
        <v>1</v>
      </c>
      <c r="AC404" s="61">
        <f ca="1">COUNTBLANK(INDIRECT("e404"))</f>
        <v>1</v>
      </c>
      <c r="AD404" s="61">
        <f ca="1">COUNTBLANK(INDIRECT("f404"))</f>
        <v>1</v>
      </c>
      <c r="AE404" s="61">
        <f ca="1">COUNTBLANK(INDIRECT("g404"))</f>
        <v>1</v>
      </c>
      <c r="AF404" s="61">
        <f ca="1">COUNTBLANK(INDIRECT("h404"))</f>
        <v>1</v>
      </c>
      <c r="AG404" s="61">
        <f ca="1">COUNTBLANK(INDIRECT("b404"))</f>
        <v>1</v>
      </c>
    </row>
    <row r="405" spans="1:33" x14ac:dyDescent="0.25">
      <c r="A405" s="2">
        <v>73</v>
      </c>
      <c r="B405" s="63"/>
      <c r="C405" s="56"/>
      <c r="D405" s="56"/>
      <c r="E405" s="56"/>
      <c r="F405" s="56"/>
      <c r="G405" s="56"/>
      <c r="H405" s="56"/>
      <c r="I405" s="117" t="str">
        <f ca="1">IF(AND(INDIRECT("H405")&gt;=INDIRECT("F405"),AA405=0,AB405=0,AC405=0,AF405=0),"Yes",IF(AND(INDIRECT("H405")&lt;INDIRECT("F405"),AA405=0,AB405=0,AC405=0,AF405=0),"No","N/A"))</f>
        <v>N/A</v>
      </c>
      <c r="J405" s="174" t="str">
        <f t="shared" ca="1" si="15"/>
        <v>No Error</v>
      </c>
      <c r="K405" s="174"/>
      <c r="L405" s="174"/>
      <c r="AA405" s="61">
        <f ca="1">COUNTBLANK(INDIRECT("C405"))</f>
        <v>1</v>
      </c>
      <c r="AB405" s="61">
        <f ca="1">COUNTBLANK(INDIRECT("d405"))</f>
        <v>1</v>
      </c>
      <c r="AC405" s="61">
        <f ca="1">COUNTBLANK(INDIRECT("e405"))</f>
        <v>1</v>
      </c>
      <c r="AD405" s="61">
        <f ca="1">COUNTBLANK(INDIRECT("f405"))</f>
        <v>1</v>
      </c>
      <c r="AE405" s="61">
        <f ca="1">COUNTBLANK(INDIRECT("g405"))</f>
        <v>1</v>
      </c>
      <c r="AF405" s="61">
        <f ca="1">COUNTBLANK(INDIRECT("h405"))</f>
        <v>1</v>
      </c>
      <c r="AG405" s="61">
        <f ca="1">COUNTBLANK(INDIRECT("b405"))</f>
        <v>1</v>
      </c>
    </row>
    <row r="406" spans="1:33" x14ac:dyDescent="0.25">
      <c r="A406" s="2">
        <v>74</v>
      </c>
      <c r="B406" s="63"/>
      <c r="C406" s="56"/>
      <c r="D406" s="56"/>
      <c r="E406" s="56"/>
      <c r="F406" s="56"/>
      <c r="G406" s="56"/>
      <c r="H406" s="56"/>
      <c r="I406" s="117" t="str">
        <f ca="1">IF(AND(INDIRECT("H406")&gt;=INDIRECT("F406"),AA406=0,AB406=0,AC406=0,AF406=0),"Yes",IF(AND(INDIRECT("H406")&lt;INDIRECT("F406"),AA406=0,AB406=0,AC406=0,AF406=0),"No","N/A"))</f>
        <v>N/A</v>
      </c>
      <c r="J406" s="174" t="str">
        <f t="shared" ca="1" si="15"/>
        <v>No Error</v>
      </c>
      <c r="K406" s="174"/>
      <c r="L406" s="174"/>
      <c r="AA406" s="61">
        <f ca="1">COUNTBLANK(INDIRECT("C406"))</f>
        <v>1</v>
      </c>
      <c r="AB406" s="61">
        <f ca="1">COUNTBLANK(INDIRECT("d406"))</f>
        <v>1</v>
      </c>
      <c r="AC406" s="61">
        <f ca="1">COUNTBLANK(INDIRECT("e406"))</f>
        <v>1</v>
      </c>
      <c r="AD406" s="61">
        <f ca="1">COUNTBLANK(INDIRECT("f406"))</f>
        <v>1</v>
      </c>
      <c r="AE406" s="61">
        <f ca="1">COUNTBLANK(INDIRECT("g406"))</f>
        <v>1</v>
      </c>
      <c r="AF406" s="61">
        <f ca="1">COUNTBLANK(INDIRECT("h406"))</f>
        <v>1</v>
      </c>
      <c r="AG406" s="61">
        <f ca="1">COUNTBLANK(INDIRECT("b406"))</f>
        <v>1</v>
      </c>
    </row>
    <row r="407" spans="1:33" x14ac:dyDescent="0.25">
      <c r="A407" s="2">
        <v>75</v>
      </c>
      <c r="B407" s="63"/>
      <c r="C407" s="56"/>
      <c r="D407" s="56"/>
      <c r="E407" s="56"/>
      <c r="F407" s="56"/>
      <c r="G407" s="56"/>
      <c r="H407" s="56"/>
      <c r="I407" s="117" t="str">
        <f ca="1">IF(AND(INDIRECT("H407")&gt;=INDIRECT("F407"),AA407=0,AB407=0,AC407=0,AF407=0),"Yes",IF(AND(INDIRECT("H407")&lt;INDIRECT("F407"),AA407=0,AB407=0,AC407=0,AF407=0),"No","N/A"))</f>
        <v>N/A</v>
      </c>
      <c r="J407" s="174" t="str">
        <f t="shared" ca="1" si="15"/>
        <v>No Error</v>
      </c>
      <c r="K407" s="174"/>
      <c r="L407" s="174"/>
      <c r="AA407" s="61">
        <f ca="1">COUNTBLANK(INDIRECT("C407"))</f>
        <v>1</v>
      </c>
      <c r="AB407" s="61">
        <f ca="1">COUNTBLANK(INDIRECT("d407"))</f>
        <v>1</v>
      </c>
      <c r="AC407" s="61">
        <f ca="1">COUNTBLANK(INDIRECT("e407"))</f>
        <v>1</v>
      </c>
      <c r="AD407" s="61">
        <f ca="1">COUNTBLANK(INDIRECT("f407"))</f>
        <v>1</v>
      </c>
      <c r="AE407" s="61">
        <f ca="1">COUNTBLANK(INDIRECT("g407"))</f>
        <v>1</v>
      </c>
      <c r="AF407" s="61">
        <f ca="1">COUNTBLANK(INDIRECT("h407"))</f>
        <v>1</v>
      </c>
      <c r="AG407" s="61">
        <f ca="1">COUNTBLANK(INDIRECT("b407"))</f>
        <v>1</v>
      </c>
    </row>
    <row r="408" spans="1:33" x14ac:dyDescent="0.25">
      <c r="A408" s="2">
        <v>76</v>
      </c>
      <c r="B408" s="63"/>
      <c r="C408" s="56"/>
      <c r="D408" s="56"/>
      <c r="E408" s="56"/>
      <c r="F408" s="56"/>
      <c r="G408" s="56"/>
      <c r="H408" s="56"/>
      <c r="I408" s="117" t="str">
        <f ca="1">IF(AND(INDIRECT("H408")&gt;=INDIRECT("F408"),AA408=0,AB408=0,AC408=0,AF408=0),"Yes",IF(AND(INDIRECT("H408")&lt;INDIRECT("F408"),AA408=0,AB408=0,AC408=0,AF408=0),"No","N/A"))</f>
        <v>N/A</v>
      </c>
      <c r="J408" s="174" t="str">
        <f t="shared" ca="1" si="15"/>
        <v>No Error</v>
      </c>
      <c r="K408" s="174"/>
      <c r="L408" s="174"/>
      <c r="AA408" s="61">
        <f ca="1">COUNTBLANK(INDIRECT("C408"))</f>
        <v>1</v>
      </c>
      <c r="AB408" s="61">
        <f ca="1">COUNTBLANK(INDIRECT("d408"))</f>
        <v>1</v>
      </c>
      <c r="AC408" s="61">
        <f ca="1">COUNTBLANK(INDIRECT("e408"))</f>
        <v>1</v>
      </c>
      <c r="AD408" s="61">
        <f ca="1">COUNTBLANK(INDIRECT("f408"))</f>
        <v>1</v>
      </c>
      <c r="AE408" s="61">
        <f ca="1">COUNTBLANK(INDIRECT("g408"))</f>
        <v>1</v>
      </c>
      <c r="AF408" s="61">
        <f ca="1">COUNTBLANK(INDIRECT("h408"))</f>
        <v>1</v>
      </c>
      <c r="AG408" s="61">
        <f ca="1">COUNTBLANK(INDIRECT("b408"))</f>
        <v>1</v>
      </c>
    </row>
    <row r="409" spans="1:33" x14ac:dyDescent="0.25">
      <c r="A409" s="2">
        <v>77</v>
      </c>
      <c r="B409" s="63"/>
      <c r="C409" s="56"/>
      <c r="D409" s="56"/>
      <c r="E409" s="56"/>
      <c r="F409" s="56"/>
      <c r="G409" s="56"/>
      <c r="H409" s="56"/>
      <c r="I409" s="117" t="str">
        <f ca="1">IF(AND(INDIRECT("H409")&gt;=INDIRECT("F409"),AA409=0,AB409=0,AC409=0,AF409=0),"Yes",IF(AND(INDIRECT("H409")&lt;INDIRECT("F409"),AA409=0,AB409=0,AC409=0,AF409=0),"No","N/A"))</f>
        <v>N/A</v>
      </c>
      <c r="J409" s="174" t="str">
        <f t="shared" ca="1" si="15"/>
        <v>No Error</v>
      </c>
      <c r="K409" s="174"/>
      <c r="L409" s="174"/>
      <c r="AA409" s="61">
        <f ca="1">COUNTBLANK(INDIRECT("C409"))</f>
        <v>1</v>
      </c>
      <c r="AB409" s="61">
        <f ca="1">COUNTBLANK(INDIRECT("d409"))</f>
        <v>1</v>
      </c>
      <c r="AC409" s="61">
        <f ca="1">COUNTBLANK(INDIRECT("e409"))</f>
        <v>1</v>
      </c>
      <c r="AD409" s="61">
        <f ca="1">COUNTBLANK(INDIRECT("f409"))</f>
        <v>1</v>
      </c>
      <c r="AE409" s="61">
        <f ca="1">COUNTBLANK(INDIRECT("g409"))</f>
        <v>1</v>
      </c>
      <c r="AF409" s="61">
        <f ca="1">COUNTBLANK(INDIRECT("h409"))</f>
        <v>1</v>
      </c>
      <c r="AG409" s="61">
        <f ca="1">COUNTBLANK(INDIRECT("b409"))</f>
        <v>1</v>
      </c>
    </row>
    <row r="410" spans="1:33" x14ac:dyDescent="0.25">
      <c r="A410" s="2">
        <v>78</v>
      </c>
      <c r="B410" s="63"/>
      <c r="C410" s="56"/>
      <c r="D410" s="56"/>
      <c r="E410" s="56"/>
      <c r="F410" s="56"/>
      <c r="G410" s="56"/>
      <c r="H410" s="56"/>
      <c r="I410" s="117" t="str">
        <f ca="1">IF(AND(INDIRECT("H410")&gt;=INDIRECT("F410"),AA410=0,AB410=0,AC410=0,AF410=0),"Yes",IF(AND(INDIRECT("H410")&lt;INDIRECT("F410"),AA410=0,AB410=0,AC410=0,AF410=0),"No","N/A"))</f>
        <v>N/A</v>
      </c>
      <c r="J410" s="174" t="str">
        <f t="shared" ca="1" si="15"/>
        <v>No Error</v>
      </c>
      <c r="K410" s="174"/>
      <c r="L410" s="174"/>
      <c r="AA410" s="61">
        <f ca="1">COUNTBLANK(INDIRECT("C410"))</f>
        <v>1</v>
      </c>
      <c r="AB410" s="61">
        <f ca="1">COUNTBLANK(INDIRECT("d410"))</f>
        <v>1</v>
      </c>
      <c r="AC410" s="61">
        <f ca="1">COUNTBLANK(INDIRECT("e410"))</f>
        <v>1</v>
      </c>
      <c r="AD410" s="61">
        <f ca="1">COUNTBLANK(INDIRECT("f410"))</f>
        <v>1</v>
      </c>
      <c r="AE410" s="61">
        <f ca="1">COUNTBLANK(INDIRECT("g410"))</f>
        <v>1</v>
      </c>
      <c r="AF410" s="61">
        <f ca="1">COUNTBLANK(INDIRECT("h410"))</f>
        <v>1</v>
      </c>
      <c r="AG410" s="61">
        <f ca="1">COUNTBLANK(INDIRECT("b410"))</f>
        <v>1</v>
      </c>
    </row>
    <row r="411" spans="1:33" x14ac:dyDescent="0.25">
      <c r="A411" s="2">
        <v>79</v>
      </c>
      <c r="B411" s="63"/>
      <c r="C411" s="56"/>
      <c r="D411" s="56"/>
      <c r="E411" s="56"/>
      <c r="F411" s="56"/>
      <c r="G411" s="56"/>
      <c r="H411" s="56"/>
      <c r="I411" s="117" t="str">
        <f ca="1">IF(AND(INDIRECT("H411")&gt;=INDIRECT("F411"),AA411=0,AB411=0,AC411=0,AF411=0),"Yes",IF(AND(INDIRECT("H411")&lt;INDIRECT("F411"),AA411=0,AB411=0,AC411=0,AF411=0),"No","N/A"))</f>
        <v>N/A</v>
      </c>
      <c r="J411" s="174" t="str">
        <f t="shared" ca="1" si="15"/>
        <v>No Error</v>
      </c>
      <c r="K411" s="174"/>
      <c r="L411" s="174"/>
      <c r="AA411" s="61">
        <f ca="1">COUNTBLANK(INDIRECT("C411"))</f>
        <v>1</v>
      </c>
      <c r="AB411" s="61">
        <f ca="1">COUNTBLANK(INDIRECT("d411"))</f>
        <v>1</v>
      </c>
      <c r="AC411" s="61">
        <f ca="1">COUNTBLANK(INDIRECT("e411"))</f>
        <v>1</v>
      </c>
      <c r="AD411" s="61">
        <f ca="1">COUNTBLANK(INDIRECT("f411"))</f>
        <v>1</v>
      </c>
      <c r="AE411" s="61">
        <f ca="1">COUNTBLANK(INDIRECT("g411"))</f>
        <v>1</v>
      </c>
      <c r="AF411" s="61">
        <f ca="1">COUNTBLANK(INDIRECT("h411"))</f>
        <v>1</v>
      </c>
      <c r="AG411" s="61">
        <f ca="1">COUNTBLANK(INDIRECT("b411"))</f>
        <v>1</v>
      </c>
    </row>
    <row r="412" spans="1:33" x14ac:dyDescent="0.25">
      <c r="A412" s="2">
        <v>80</v>
      </c>
      <c r="B412" s="63"/>
      <c r="C412" s="56"/>
      <c r="D412" s="56"/>
      <c r="E412" s="56"/>
      <c r="F412" s="56"/>
      <c r="G412" s="56"/>
      <c r="H412" s="56"/>
      <c r="I412" s="117" t="str">
        <f ca="1">IF(AND(INDIRECT("H412")&gt;=INDIRECT("F412"),AA412=0,AB412=0,AC412=0,AF412=0),"Yes",IF(AND(INDIRECT("H412")&lt;INDIRECT("F412"),AA412=0,AB412=0,AC412=0,AF412=0),"No","N/A"))</f>
        <v>N/A</v>
      </c>
      <c r="J412" s="174" t="str">
        <f t="shared" ca="1" si="15"/>
        <v>No Error</v>
      </c>
      <c r="K412" s="174"/>
      <c r="L412" s="174"/>
      <c r="AA412" s="61">
        <f ca="1">COUNTBLANK(INDIRECT("C412"))</f>
        <v>1</v>
      </c>
      <c r="AB412" s="61">
        <f ca="1">COUNTBLANK(INDIRECT("d412"))</f>
        <v>1</v>
      </c>
      <c r="AC412" s="61">
        <f ca="1">COUNTBLANK(INDIRECT("e412"))</f>
        <v>1</v>
      </c>
      <c r="AD412" s="61">
        <f ca="1">COUNTBLANK(INDIRECT("f412"))</f>
        <v>1</v>
      </c>
      <c r="AE412" s="61">
        <f ca="1">COUNTBLANK(INDIRECT("g412"))</f>
        <v>1</v>
      </c>
      <c r="AF412" s="61">
        <f ca="1">COUNTBLANK(INDIRECT("h412"))</f>
        <v>1</v>
      </c>
      <c r="AG412" s="61">
        <f ca="1">COUNTBLANK(INDIRECT("b412"))</f>
        <v>1</v>
      </c>
    </row>
    <row r="413" spans="1:33" x14ac:dyDescent="0.25">
      <c r="A413" s="2">
        <v>81</v>
      </c>
      <c r="B413" s="63"/>
      <c r="C413" s="56"/>
      <c r="D413" s="56"/>
      <c r="E413" s="56"/>
      <c r="F413" s="56"/>
      <c r="G413" s="56"/>
      <c r="H413" s="56"/>
      <c r="I413" s="117" t="str">
        <f ca="1">IF(AND(INDIRECT("H413")&gt;=INDIRECT("F413"),AA413=0,AB413=0,AC413=0,AF413=0),"Yes",IF(AND(INDIRECT("H413")&lt;INDIRECT("F413"),AA413=0,AB413=0,AC413=0,AF413=0),"No","N/A"))</f>
        <v>N/A</v>
      </c>
      <c r="J413" s="174" t="str">
        <f t="shared" ca="1" si="15"/>
        <v>No Error</v>
      </c>
      <c r="K413" s="174"/>
      <c r="L413" s="174"/>
      <c r="AA413" s="61">
        <f ca="1">COUNTBLANK(INDIRECT("C413"))</f>
        <v>1</v>
      </c>
      <c r="AB413" s="61">
        <f ca="1">COUNTBLANK(INDIRECT("d413"))</f>
        <v>1</v>
      </c>
      <c r="AC413" s="61">
        <f ca="1">COUNTBLANK(INDIRECT("e413"))</f>
        <v>1</v>
      </c>
      <c r="AD413" s="61">
        <f ca="1">COUNTBLANK(INDIRECT("f413"))</f>
        <v>1</v>
      </c>
      <c r="AE413" s="61">
        <f ca="1">COUNTBLANK(INDIRECT("g413"))</f>
        <v>1</v>
      </c>
      <c r="AF413" s="61">
        <f ca="1">COUNTBLANK(INDIRECT("h413"))</f>
        <v>1</v>
      </c>
      <c r="AG413" s="61">
        <f ca="1">COUNTBLANK(INDIRECT("b413"))</f>
        <v>1</v>
      </c>
    </row>
    <row r="414" spans="1:33" x14ac:dyDescent="0.25">
      <c r="A414" s="2">
        <v>82</v>
      </c>
      <c r="B414" s="63"/>
      <c r="C414" s="56"/>
      <c r="D414" s="56"/>
      <c r="E414" s="56"/>
      <c r="F414" s="56"/>
      <c r="G414" s="56"/>
      <c r="H414" s="56"/>
      <c r="I414" s="117" t="str">
        <f ca="1">IF(AND(INDIRECT("H414")&gt;=INDIRECT("F414"),AA414=0,AB414=0,AC414=0,AF414=0),"Yes",IF(AND(INDIRECT("H414")&lt;INDIRECT("F414"),AA414=0,AB414=0,AC414=0,AF414=0),"No","N/A"))</f>
        <v>N/A</v>
      </c>
      <c r="J414" s="174" t="str">
        <f t="shared" ca="1" si="15"/>
        <v>No Error</v>
      </c>
      <c r="K414" s="174"/>
      <c r="L414" s="174"/>
      <c r="AA414" s="61">
        <f ca="1">COUNTBLANK(INDIRECT("C414"))</f>
        <v>1</v>
      </c>
      <c r="AB414" s="61">
        <f ca="1">COUNTBLANK(INDIRECT("d414"))</f>
        <v>1</v>
      </c>
      <c r="AC414" s="61">
        <f ca="1">COUNTBLANK(INDIRECT("e414"))</f>
        <v>1</v>
      </c>
      <c r="AD414" s="61">
        <f ca="1">COUNTBLANK(INDIRECT("f414"))</f>
        <v>1</v>
      </c>
      <c r="AE414" s="61">
        <f ca="1">COUNTBLANK(INDIRECT("g414"))</f>
        <v>1</v>
      </c>
      <c r="AF414" s="61">
        <f ca="1">COUNTBLANK(INDIRECT("h414"))</f>
        <v>1</v>
      </c>
      <c r="AG414" s="61">
        <f ca="1">COUNTBLANK(INDIRECT("b414"))</f>
        <v>1</v>
      </c>
    </row>
    <row r="415" spans="1:33" x14ac:dyDescent="0.25">
      <c r="A415" s="2">
        <v>83</v>
      </c>
      <c r="B415" s="63"/>
      <c r="C415" s="56"/>
      <c r="D415" s="56"/>
      <c r="E415" s="56"/>
      <c r="F415" s="56"/>
      <c r="G415" s="56"/>
      <c r="H415" s="56"/>
      <c r="I415" s="117" t="str">
        <f ca="1">IF(AND(INDIRECT("H415")&gt;=INDIRECT("F415"),AA415=0,AB415=0,AC415=0,AF415=0),"Yes",IF(AND(INDIRECT("H415")&lt;INDIRECT("F415"),AA415=0,AB415=0,AC415=0,AF415=0),"No","N/A"))</f>
        <v>N/A</v>
      </c>
      <c r="J415" s="174" t="str">
        <f t="shared" ca="1" si="15"/>
        <v>No Error</v>
      </c>
      <c r="K415" s="174"/>
      <c r="L415" s="174"/>
      <c r="AA415" s="61">
        <f ca="1">COUNTBLANK(INDIRECT("C415"))</f>
        <v>1</v>
      </c>
      <c r="AB415" s="61">
        <f ca="1">COUNTBLANK(INDIRECT("d415"))</f>
        <v>1</v>
      </c>
      <c r="AC415" s="61">
        <f ca="1">COUNTBLANK(INDIRECT("e415"))</f>
        <v>1</v>
      </c>
      <c r="AD415" s="61">
        <f ca="1">COUNTBLANK(INDIRECT("f415"))</f>
        <v>1</v>
      </c>
      <c r="AE415" s="61">
        <f ca="1">COUNTBLANK(INDIRECT("g415"))</f>
        <v>1</v>
      </c>
      <c r="AF415" s="61">
        <f ca="1">COUNTBLANK(INDIRECT("h415"))</f>
        <v>1</v>
      </c>
      <c r="AG415" s="61">
        <f ca="1">COUNTBLANK(INDIRECT("b415"))</f>
        <v>1</v>
      </c>
    </row>
    <row r="416" spans="1:33" x14ac:dyDescent="0.25">
      <c r="A416" s="2">
        <v>84</v>
      </c>
      <c r="B416" s="63"/>
      <c r="C416" s="56"/>
      <c r="D416" s="56"/>
      <c r="E416" s="56"/>
      <c r="F416" s="56"/>
      <c r="G416" s="56"/>
      <c r="H416" s="56"/>
      <c r="I416" s="117" t="str">
        <f ca="1">IF(AND(INDIRECT("H416")&gt;=INDIRECT("F416"),AA416=0,AB416=0,AC416=0,AF416=0),"Yes",IF(AND(INDIRECT("H416")&lt;INDIRECT("F416"),AA416=0,AB416=0,AC416=0,AF416=0),"No","N/A"))</f>
        <v>N/A</v>
      </c>
      <c r="J416" s="174" t="str">
        <f t="shared" ca="1" si="15"/>
        <v>No Error</v>
      </c>
      <c r="K416" s="174"/>
      <c r="L416" s="174"/>
      <c r="AA416" s="61">
        <f ca="1">COUNTBLANK(INDIRECT("C416"))</f>
        <v>1</v>
      </c>
      <c r="AB416" s="61">
        <f ca="1">COUNTBLANK(INDIRECT("d416"))</f>
        <v>1</v>
      </c>
      <c r="AC416" s="61">
        <f ca="1">COUNTBLANK(INDIRECT("e416"))</f>
        <v>1</v>
      </c>
      <c r="AD416" s="61">
        <f ca="1">COUNTBLANK(INDIRECT("f416"))</f>
        <v>1</v>
      </c>
      <c r="AE416" s="61">
        <f ca="1">COUNTBLANK(INDIRECT("g416"))</f>
        <v>1</v>
      </c>
      <c r="AF416" s="61">
        <f ca="1">COUNTBLANK(INDIRECT("h416"))</f>
        <v>1</v>
      </c>
      <c r="AG416" s="61">
        <f ca="1">COUNTBLANK(INDIRECT("b416"))</f>
        <v>1</v>
      </c>
    </row>
    <row r="417" spans="1:33" x14ac:dyDescent="0.25">
      <c r="A417" s="2">
        <v>85</v>
      </c>
      <c r="B417" s="63"/>
      <c r="C417" s="56"/>
      <c r="D417" s="56"/>
      <c r="E417" s="56"/>
      <c r="F417" s="56"/>
      <c r="G417" s="56"/>
      <c r="H417" s="56"/>
      <c r="I417" s="117" t="str">
        <f ca="1">IF(AND(INDIRECT("H417")&gt;=INDIRECT("F417"),AA417=0,AB417=0,AC417=0,AF417=0),"Yes",IF(AND(INDIRECT("H417")&lt;INDIRECT("F417"),AA417=0,AB417=0,AC417=0,AF417=0),"No","N/A"))</f>
        <v>N/A</v>
      </c>
      <c r="J417" s="174" t="str">
        <f t="shared" ca="1" si="15"/>
        <v>No Error</v>
      </c>
      <c r="K417" s="174"/>
      <c r="L417" s="174"/>
      <c r="AA417" s="61">
        <f ca="1">COUNTBLANK(INDIRECT("C417"))</f>
        <v>1</v>
      </c>
      <c r="AB417" s="61">
        <f ca="1">COUNTBLANK(INDIRECT("d417"))</f>
        <v>1</v>
      </c>
      <c r="AC417" s="61">
        <f ca="1">COUNTBLANK(INDIRECT("e417"))</f>
        <v>1</v>
      </c>
      <c r="AD417" s="61">
        <f ca="1">COUNTBLANK(INDIRECT("f417"))</f>
        <v>1</v>
      </c>
      <c r="AE417" s="61">
        <f ca="1">COUNTBLANK(INDIRECT("g417"))</f>
        <v>1</v>
      </c>
      <c r="AF417" s="61">
        <f ca="1">COUNTBLANK(INDIRECT("h417"))</f>
        <v>1</v>
      </c>
      <c r="AG417" s="61">
        <f ca="1">COUNTBLANK(INDIRECT("b417"))</f>
        <v>1</v>
      </c>
    </row>
    <row r="418" spans="1:33" x14ac:dyDescent="0.25">
      <c r="A418" s="2">
        <v>86</v>
      </c>
      <c r="B418" s="63"/>
      <c r="C418" s="56"/>
      <c r="D418" s="56"/>
      <c r="E418" s="56"/>
      <c r="F418" s="56"/>
      <c r="G418" s="56"/>
      <c r="H418" s="56"/>
      <c r="I418" s="117" t="str">
        <f ca="1">IF(AND(INDIRECT("H418")&gt;=INDIRECT("F418"),AA418=0,AB418=0,AC418=0,AF418=0),"Yes",IF(AND(INDIRECT("H418")&lt;INDIRECT("F418"),AA418=0,AB418=0,AC418=0,AF418=0),"No","N/A"))</f>
        <v>N/A</v>
      </c>
      <c r="J418" s="174" t="str">
        <f t="shared" ca="1" si="15"/>
        <v>No Error</v>
      </c>
      <c r="K418" s="174"/>
      <c r="L418" s="174"/>
      <c r="AA418" s="61">
        <f ca="1">COUNTBLANK(INDIRECT("C418"))</f>
        <v>1</v>
      </c>
      <c r="AB418" s="61">
        <f ca="1">COUNTBLANK(INDIRECT("d418"))</f>
        <v>1</v>
      </c>
      <c r="AC418" s="61">
        <f ca="1">COUNTBLANK(INDIRECT("e418"))</f>
        <v>1</v>
      </c>
      <c r="AD418" s="61">
        <f ca="1">COUNTBLANK(INDIRECT("f418"))</f>
        <v>1</v>
      </c>
      <c r="AE418" s="61">
        <f ca="1">COUNTBLANK(INDIRECT("g418"))</f>
        <v>1</v>
      </c>
      <c r="AF418" s="61">
        <f ca="1">COUNTBLANK(INDIRECT("h418"))</f>
        <v>1</v>
      </c>
      <c r="AG418" s="61">
        <f ca="1">COUNTBLANK(INDIRECT("b418"))</f>
        <v>1</v>
      </c>
    </row>
    <row r="419" spans="1:33" x14ac:dyDescent="0.25">
      <c r="A419" s="2">
        <v>87</v>
      </c>
      <c r="B419" s="63"/>
      <c r="C419" s="56"/>
      <c r="D419" s="56"/>
      <c r="E419" s="56"/>
      <c r="F419" s="56"/>
      <c r="G419" s="56"/>
      <c r="H419" s="56"/>
      <c r="I419" s="117" t="str">
        <f ca="1">IF(AND(INDIRECT("H419")&gt;=INDIRECT("F419"),AA419=0,AB419=0,AC419=0,AF419=0),"Yes",IF(AND(INDIRECT("H419")&lt;INDIRECT("F419"),AA419=0,AB419=0,AC419=0,AF419=0),"No","N/A"))</f>
        <v>N/A</v>
      </c>
      <c r="J419" s="174" t="str">
        <f t="shared" ca="1" si="15"/>
        <v>No Error</v>
      </c>
      <c r="K419" s="174"/>
      <c r="L419" s="174"/>
      <c r="AA419" s="61">
        <f ca="1">COUNTBLANK(INDIRECT("C419"))</f>
        <v>1</v>
      </c>
      <c r="AB419" s="61">
        <f ca="1">COUNTBLANK(INDIRECT("d419"))</f>
        <v>1</v>
      </c>
      <c r="AC419" s="61">
        <f ca="1">COUNTBLANK(INDIRECT("e419"))</f>
        <v>1</v>
      </c>
      <c r="AD419" s="61">
        <f ca="1">COUNTBLANK(INDIRECT("f419"))</f>
        <v>1</v>
      </c>
      <c r="AE419" s="61">
        <f ca="1">COUNTBLANK(INDIRECT("g419"))</f>
        <v>1</v>
      </c>
      <c r="AF419" s="61">
        <f ca="1">COUNTBLANK(INDIRECT("h419"))</f>
        <v>1</v>
      </c>
      <c r="AG419" s="61">
        <f ca="1">COUNTBLANK(INDIRECT("b419"))</f>
        <v>1</v>
      </c>
    </row>
    <row r="420" spans="1:33" x14ac:dyDescent="0.25">
      <c r="A420" s="2">
        <v>88</v>
      </c>
      <c r="B420" s="63"/>
      <c r="C420" s="56"/>
      <c r="D420" s="56"/>
      <c r="E420" s="56"/>
      <c r="F420" s="56"/>
      <c r="G420" s="56"/>
      <c r="H420" s="56"/>
      <c r="I420" s="117" t="str">
        <f ca="1">IF(AND(INDIRECT("H420")&gt;=INDIRECT("F420"),AA420=0,AB420=0,AC420=0,AF420=0),"Yes",IF(AND(INDIRECT("H420")&lt;INDIRECT("F420"),AA420=0,AB420=0,AC420=0,AF420=0),"No","N/A"))</f>
        <v>N/A</v>
      </c>
      <c r="J420" s="174" t="str">
        <f t="shared" ca="1" si="15"/>
        <v>No Error</v>
      </c>
      <c r="K420" s="174"/>
      <c r="L420" s="174"/>
      <c r="AA420" s="61">
        <f ca="1">COUNTBLANK(INDIRECT("C420"))</f>
        <v>1</v>
      </c>
      <c r="AB420" s="61">
        <f ca="1">COUNTBLANK(INDIRECT("d420"))</f>
        <v>1</v>
      </c>
      <c r="AC420" s="61">
        <f ca="1">COUNTBLANK(INDIRECT("e420"))</f>
        <v>1</v>
      </c>
      <c r="AD420" s="61">
        <f ca="1">COUNTBLANK(INDIRECT("f420"))</f>
        <v>1</v>
      </c>
      <c r="AE420" s="61">
        <f ca="1">COUNTBLANK(INDIRECT("g420"))</f>
        <v>1</v>
      </c>
      <c r="AF420" s="61">
        <f ca="1">COUNTBLANK(INDIRECT("h420"))</f>
        <v>1</v>
      </c>
      <c r="AG420" s="61">
        <f ca="1">COUNTBLANK(INDIRECT("b420"))</f>
        <v>1</v>
      </c>
    </row>
    <row r="421" spans="1:33" x14ac:dyDescent="0.25">
      <c r="A421" s="2">
        <v>89</v>
      </c>
      <c r="B421" s="63"/>
      <c r="C421" s="56"/>
      <c r="D421" s="56"/>
      <c r="E421" s="56"/>
      <c r="F421" s="56"/>
      <c r="G421" s="56"/>
      <c r="H421" s="56"/>
      <c r="I421" s="117" t="str">
        <f ca="1">IF(AND(INDIRECT("H421")&gt;=INDIRECT("F421"),AA421=0,AB421=0,AC421=0,AF421=0),"Yes",IF(AND(INDIRECT("H421")&lt;INDIRECT("F421"),AA421=0,AB421=0,AC421=0,AF421=0),"No","N/A"))</f>
        <v>N/A</v>
      </c>
      <c r="J421" s="174" t="str">
        <f t="shared" ca="1" si="15"/>
        <v>No Error</v>
      </c>
      <c r="K421" s="174"/>
      <c r="L421" s="174"/>
      <c r="AA421" s="61">
        <f ca="1">COUNTBLANK(INDIRECT("C421"))</f>
        <v>1</v>
      </c>
      <c r="AB421" s="61">
        <f ca="1">COUNTBLANK(INDIRECT("d421"))</f>
        <v>1</v>
      </c>
      <c r="AC421" s="61">
        <f ca="1">COUNTBLANK(INDIRECT("e421"))</f>
        <v>1</v>
      </c>
      <c r="AD421" s="61">
        <f ca="1">COUNTBLANK(INDIRECT("f421"))</f>
        <v>1</v>
      </c>
      <c r="AE421" s="61">
        <f ca="1">COUNTBLANK(INDIRECT("g421"))</f>
        <v>1</v>
      </c>
      <c r="AF421" s="61">
        <f ca="1">COUNTBLANK(INDIRECT("h421"))</f>
        <v>1</v>
      </c>
      <c r="AG421" s="61">
        <f ca="1">COUNTBLANK(INDIRECT("b421"))</f>
        <v>1</v>
      </c>
    </row>
    <row r="422" spans="1:33" x14ac:dyDescent="0.25">
      <c r="A422" s="2">
        <v>90</v>
      </c>
      <c r="B422" s="63"/>
      <c r="C422" s="56"/>
      <c r="D422" s="56"/>
      <c r="E422" s="56"/>
      <c r="F422" s="56"/>
      <c r="G422" s="56"/>
      <c r="H422" s="56"/>
      <c r="I422" s="117" t="str">
        <f ca="1">IF(AND(INDIRECT("H422")&gt;=INDIRECT("F422"),AA422=0,AB422=0,AC422=0,AF422=0),"Yes",IF(AND(INDIRECT("H422")&lt;INDIRECT("F422"),AA422=0,AB422=0,AC422=0,AF422=0),"No","N/A"))</f>
        <v>N/A</v>
      </c>
      <c r="J422" s="174" t="str">
        <f t="shared" ca="1" si="15"/>
        <v>No Error</v>
      </c>
      <c r="K422" s="174"/>
      <c r="L422" s="174"/>
      <c r="AA422" s="61">
        <f ca="1">COUNTBLANK(INDIRECT("C422"))</f>
        <v>1</v>
      </c>
      <c r="AB422" s="61">
        <f ca="1">COUNTBLANK(INDIRECT("d422"))</f>
        <v>1</v>
      </c>
      <c r="AC422" s="61">
        <f ca="1">COUNTBLANK(INDIRECT("e422"))</f>
        <v>1</v>
      </c>
      <c r="AD422" s="61">
        <f ca="1">COUNTBLANK(INDIRECT("f422"))</f>
        <v>1</v>
      </c>
      <c r="AE422" s="61">
        <f ca="1">COUNTBLANK(INDIRECT("g422"))</f>
        <v>1</v>
      </c>
      <c r="AF422" s="61">
        <f ca="1">COUNTBLANK(INDIRECT("h422"))</f>
        <v>1</v>
      </c>
      <c r="AG422" s="61">
        <f ca="1">COUNTBLANK(INDIRECT("b422"))</f>
        <v>1</v>
      </c>
    </row>
    <row r="423" spans="1:33" x14ac:dyDescent="0.25">
      <c r="A423" s="2">
        <v>91</v>
      </c>
      <c r="B423" s="63"/>
      <c r="C423" s="56"/>
      <c r="D423" s="56"/>
      <c r="E423" s="56"/>
      <c r="F423" s="56"/>
      <c r="G423" s="56"/>
      <c r="H423" s="56"/>
      <c r="I423" s="117" t="str">
        <f ca="1">IF(AND(INDIRECT("H423")&gt;=INDIRECT("F423"),AA423=0,AB423=0,AC423=0,AF423=0),"Yes",IF(AND(INDIRECT("H423")&lt;INDIRECT("F423"),AA423=0,AB423=0,AC423=0,AF423=0),"No","N/A"))</f>
        <v>N/A</v>
      </c>
      <c r="J423" s="174" t="str">
        <f t="shared" ca="1" si="15"/>
        <v>No Error</v>
      </c>
      <c r="K423" s="174"/>
      <c r="L423" s="174"/>
      <c r="AA423" s="61">
        <f ca="1">COUNTBLANK(INDIRECT("C423"))</f>
        <v>1</v>
      </c>
      <c r="AB423" s="61">
        <f ca="1">COUNTBLANK(INDIRECT("d423"))</f>
        <v>1</v>
      </c>
      <c r="AC423" s="61">
        <f ca="1">COUNTBLANK(INDIRECT("e423"))</f>
        <v>1</v>
      </c>
      <c r="AD423" s="61">
        <f ca="1">COUNTBLANK(INDIRECT("f423"))</f>
        <v>1</v>
      </c>
      <c r="AE423" s="61">
        <f ca="1">COUNTBLANK(INDIRECT("g423"))</f>
        <v>1</v>
      </c>
      <c r="AF423" s="61">
        <f ca="1">COUNTBLANK(INDIRECT("h423"))</f>
        <v>1</v>
      </c>
      <c r="AG423" s="61">
        <f ca="1">COUNTBLANK(INDIRECT("b423"))</f>
        <v>1</v>
      </c>
    </row>
    <row r="424" spans="1:33" x14ac:dyDescent="0.25">
      <c r="A424" s="2">
        <v>92</v>
      </c>
      <c r="B424" s="63"/>
      <c r="C424" s="56"/>
      <c r="D424" s="56"/>
      <c r="E424" s="56"/>
      <c r="F424" s="56"/>
      <c r="G424" s="56"/>
      <c r="H424" s="56"/>
      <c r="I424" s="117" t="str">
        <f ca="1">IF(AND(INDIRECT("H424")&gt;=INDIRECT("F424"),AA424=0,AB424=0,AC424=0,AF424=0),"Yes",IF(AND(INDIRECT("H424")&lt;INDIRECT("F424"),AA424=0,AB424=0,AC424=0,AF424=0),"No","N/A"))</f>
        <v>N/A</v>
      </c>
      <c r="J424" s="174" t="str">
        <f t="shared" ca="1" si="15"/>
        <v>No Error</v>
      </c>
      <c r="K424" s="174"/>
      <c r="L424" s="174"/>
      <c r="AA424" s="61">
        <f ca="1">COUNTBLANK(INDIRECT("C424"))</f>
        <v>1</v>
      </c>
      <c r="AB424" s="61">
        <f ca="1">COUNTBLANK(INDIRECT("d424"))</f>
        <v>1</v>
      </c>
      <c r="AC424" s="61">
        <f ca="1">COUNTBLANK(INDIRECT("e424"))</f>
        <v>1</v>
      </c>
      <c r="AD424" s="61">
        <f ca="1">COUNTBLANK(INDIRECT("f424"))</f>
        <v>1</v>
      </c>
      <c r="AE424" s="61">
        <f ca="1">COUNTBLANK(INDIRECT("g424"))</f>
        <v>1</v>
      </c>
      <c r="AF424" s="61">
        <f ca="1">COUNTBLANK(INDIRECT("h424"))</f>
        <v>1</v>
      </c>
      <c r="AG424" s="61">
        <f ca="1">COUNTBLANK(INDIRECT("b424"))</f>
        <v>1</v>
      </c>
    </row>
    <row r="425" spans="1:33" x14ac:dyDescent="0.25">
      <c r="A425" s="2">
        <v>93</v>
      </c>
      <c r="B425" s="63"/>
      <c r="C425" s="56"/>
      <c r="D425" s="56"/>
      <c r="E425" s="56"/>
      <c r="F425" s="56"/>
      <c r="G425" s="56"/>
      <c r="H425" s="56"/>
      <c r="I425" s="117" t="str">
        <f ca="1">IF(AND(INDIRECT("H425")&gt;=INDIRECT("F425"),AA425=0,AB425=0,AC425=0,AF425=0),"Yes",IF(AND(INDIRECT("H425")&lt;INDIRECT("F425"),AA425=0,AB425=0,AC425=0,AF425=0),"No","N/A"))</f>
        <v>N/A</v>
      </c>
      <c r="J425" s="174" t="str">
        <f t="shared" ca="1" si="15"/>
        <v>No Error</v>
      </c>
      <c r="K425" s="174"/>
      <c r="L425" s="174"/>
      <c r="AA425" s="61">
        <f ca="1">COUNTBLANK(INDIRECT("C425"))</f>
        <v>1</v>
      </c>
      <c r="AB425" s="61">
        <f ca="1">COUNTBLANK(INDIRECT("d425"))</f>
        <v>1</v>
      </c>
      <c r="AC425" s="61">
        <f ca="1">COUNTBLANK(INDIRECT("e425"))</f>
        <v>1</v>
      </c>
      <c r="AD425" s="61">
        <f ca="1">COUNTBLANK(INDIRECT("f425"))</f>
        <v>1</v>
      </c>
      <c r="AE425" s="61">
        <f ca="1">COUNTBLANK(INDIRECT("g425"))</f>
        <v>1</v>
      </c>
      <c r="AF425" s="61">
        <f ca="1">COUNTBLANK(INDIRECT("h425"))</f>
        <v>1</v>
      </c>
      <c r="AG425" s="61">
        <f ca="1">COUNTBLANK(INDIRECT("b425"))</f>
        <v>1</v>
      </c>
    </row>
    <row r="426" spans="1:33" x14ac:dyDescent="0.25">
      <c r="A426" s="2">
        <v>94</v>
      </c>
      <c r="B426" s="63"/>
      <c r="C426" s="56"/>
      <c r="D426" s="56"/>
      <c r="E426" s="56"/>
      <c r="F426" s="56"/>
      <c r="G426" s="56"/>
      <c r="H426" s="56"/>
      <c r="I426" s="117" t="str">
        <f ca="1">IF(AND(INDIRECT("H426")&gt;=INDIRECT("F426"),AA426=0,AB426=0,AC426=0,AF426=0),"Yes",IF(AND(INDIRECT("H426")&lt;INDIRECT("F426"),AA426=0,AB426=0,AC426=0,AF426=0),"No","N/A"))</f>
        <v>N/A</v>
      </c>
      <c r="J426" s="174" t="str">
        <f t="shared" ca="1" si="15"/>
        <v>No Error</v>
      </c>
      <c r="K426" s="174"/>
      <c r="L426" s="174"/>
      <c r="AA426" s="61">
        <f ca="1">COUNTBLANK(INDIRECT("C426"))</f>
        <v>1</v>
      </c>
      <c r="AB426" s="61">
        <f ca="1">COUNTBLANK(INDIRECT("d426"))</f>
        <v>1</v>
      </c>
      <c r="AC426" s="61">
        <f ca="1">COUNTBLANK(INDIRECT("e426"))</f>
        <v>1</v>
      </c>
      <c r="AD426" s="61">
        <f ca="1">COUNTBLANK(INDIRECT("f426"))</f>
        <v>1</v>
      </c>
      <c r="AE426" s="61">
        <f ca="1">COUNTBLANK(INDIRECT("g426"))</f>
        <v>1</v>
      </c>
      <c r="AF426" s="61">
        <f ca="1">COUNTBLANK(INDIRECT("h426"))</f>
        <v>1</v>
      </c>
      <c r="AG426" s="61">
        <f ca="1">COUNTBLANK(INDIRECT("b426"))</f>
        <v>1</v>
      </c>
    </row>
    <row r="427" spans="1:33" x14ac:dyDescent="0.25">
      <c r="A427" s="2">
        <v>95</v>
      </c>
      <c r="B427" s="63"/>
      <c r="C427" s="56"/>
      <c r="D427" s="56"/>
      <c r="E427" s="56"/>
      <c r="F427" s="56"/>
      <c r="G427" s="56"/>
      <c r="H427" s="56"/>
      <c r="I427" s="117" t="str">
        <f ca="1">IF(AND(INDIRECT("H427")&gt;=INDIRECT("F427"),AA427=0,AB427=0,AC427=0,AF427=0),"Yes",IF(AND(INDIRECT("H427")&lt;INDIRECT("F427"),AA427=0,AB427=0,AC427=0,AF427=0),"No","N/A"))</f>
        <v>N/A</v>
      </c>
      <c r="J427" s="174" t="str">
        <f t="shared" ca="1" si="15"/>
        <v>No Error</v>
      </c>
      <c r="K427" s="174"/>
      <c r="L427" s="174"/>
      <c r="AA427" s="61">
        <f ca="1">COUNTBLANK(INDIRECT("C427"))</f>
        <v>1</v>
      </c>
      <c r="AB427" s="61">
        <f ca="1">COUNTBLANK(INDIRECT("d427"))</f>
        <v>1</v>
      </c>
      <c r="AC427" s="61">
        <f ca="1">COUNTBLANK(INDIRECT("e427"))</f>
        <v>1</v>
      </c>
      <c r="AD427" s="61">
        <f ca="1">COUNTBLANK(INDIRECT("f427"))</f>
        <v>1</v>
      </c>
      <c r="AE427" s="61">
        <f ca="1">COUNTBLANK(INDIRECT("g427"))</f>
        <v>1</v>
      </c>
      <c r="AF427" s="61">
        <f ca="1">COUNTBLANK(INDIRECT("h427"))</f>
        <v>1</v>
      </c>
      <c r="AG427" s="61">
        <f ca="1">COUNTBLANK(INDIRECT("b427"))</f>
        <v>1</v>
      </c>
    </row>
    <row r="428" spans="1:33" x14ac:dyDescent="0.25">
      <c r="A428" s="2">
        <v>96</v>
      </c>
      <c r="B428" s="63"/>
      <c r="C428" s="56"/>
      <c r="D428" s="56"/>
      <c r="E428" s="56"/>
      <c r="F428" s="56"/>
      <c r="G428" s="56"/>
      <c r="H428" s="56"/>
      <c r="I428" s="117" t="str">
        <f ca="1">IF(AND(INDIRECT("H428")&gt;=INDIRECT("F428"),AA428=0,AB428=0,AC428=0,AF428=0),"Yes",IF(AND(INDIRECT("H428")&lt;INDIRECT("F428"),AA428=0,AB428=0,AC428=0,AF428=0),"No","N/A"))</f>
        <v>N/A</v>
      </c>
      <c r="J428" s="174" t="str">
        <f t="shared" ca="1" si="15"/>
        <v>No Error</v>
      </c>
      <c r="K428" s="174"/>
      <c r="L428" s="174"/>
      <c r="AA428" s="61">
        <f ca="1">COUNTBLANK(INDIRECT("C428"))</f>
        <v>1</v>
      </c>
      <c r="AB428" s="61">
        <f ca="1">COUNTBLANK(INDIRECT("d428"))</f>
        <v>1</v>
      </c>
      <c r="AC428" s="61">
        <f ca="1">COUNTBLANK(INDIRECT("e428"))</f>
        <v>1</v>
      </c>
      <c r="AD428" s="61">
        <f ca="1">COUNTBLANK(INDIRECT("f428"))</f>
        <v>1</v>
      </c>
      <c r="AE428" s="61">
        <f ca="1">COUNTBLANK(INDIRECT("g428"))</f>
        <v>1</v>
      </c>
      <c r="AF428" s="61">
        <f ca="1">COUNTBLANK(INDIRECT("h428"))</f>
        <v>1</v>
      </c>
      <c r="AG428" s="61">
        <f ca="1">COUNTBLANK(INDIRECT("b428"))</f>
        <v>1</v>
      </c>
    </row>
    <row r="429" spans="1:33" x14ac:dyDescent="0.25">
      <c r="A429" s="2">
        <v>97</v>
      </c>
      <c r="B429" s="63"/>
      <c r="C429" s="56"/>
      <c r="D429" s="56"/>
      <c r="E429" s="56"/>
      <c r="F429" s="56"/>
      <c r="G429" s="56"/>
      <c r="H429" s="56"/>
      <c r="I429" s="117" t="str">
        <f ca="1">IF(AND(INDIRECT("H429")&gt;=INDIRECT("F429"),AA429=0,AB429=0,AC429=0,AF429=0),"Yes",IF(AND(INDIRECT("H429")&lt;INDIRECT("F429"),AA429=0,AB429=0,AC429=0,AF429=0),"No","N/A"))</f>
        <v>N/A</v>
      </c>
      <c r="J429" s="174" t="str">
        <f t="shared" ca="1" si="15"/>
        <v>No Error</v>
      </c>
      <c r="K429" s="174"/>
      <c r="L429" s="174"/>
      <c r="AA429" s="61">
        <f ca="1">COUNTBLANK(INDIRECT("C429"))</f>
        <v>1</v>
      </c>
      <c r="AB429" s="61">
        <f ca="1">COUNTBLANK(INDIRECT("d429"))</f>
        <v>1</v>
      </c>
      <c r="AC429" s="61">
        <f ca="1">COUNTBLANK(INDIRECT("e429"))</f>
        <v>1</v>
      </c>
      <c r="AD429" s="61">
        <f ca="1">COUNTBLANK(INDIRECT("f429"))</f>
        <v>1</v>
      </c>
      <c r="AE429" s="61">
        <f ca="1">COUNTBLANK(INDIRECT("g429"))</f>
        <v>1</v>
      </c>
      <c r="AF429" s="61">
        <f ca="1">COUNTBLANK(INDIRECT("h429"))</f>
        <v>1</v>
      </c>
      <c r="AG429" s="61">
        <f ca="1">COUNTBLANK(INDIRECT("b429"))</f>
        <v>1</v>
      </c>
    </row>
    <row r="430" spans="1:33" x14ac:dyDescent="0.25">
      <c r="A430" s="2">
        <v>98</v>
      </c>
      <c r="B430" s="63"/>
      <c r="C430" s="56"/>
      <c r="D430" s="56"/>
      <c r="E430" s="56"/>
      <c r="F430" s="56"/>
      <c r="G430" s="56"/>
      <c r="H430" s="56"/>
      <c r="I430" s="117" t="str">
        <f ca="1">IF(AND(INDIRECT("H430")&gt;=INDIRECT("F430"),AA430=0,AB430=0,AC430=0,AF430=0),"Yes",IF(AND(INDIRECT("H430")&lt;INDIRECT("F430"),AA430=0,AB430=0,AC430=0,AF430=0),"No","N/A"))</f>
        <v>N/A</v>
      </c>
      <c r="J430" s="174" t="str">
        <f t="shared" ca="1" si="15"/>
        <v>No Error</v>
      </c>
      <c r="K430" s="174"/>
      <c r="L430" s="174"/>
      <c r="AA430" s="61">
        <f ca="1">COUNTBLANK(INDIRECT("C430"))</f>
        <v>1</v>
      </c>
      <c r="AB430" s="61">
        <f ca="1">COUNTBLANK(INDIRECT("d430"))</f>
        <v>1</v>
      </c>
      <c r="AC430" s="61">
        <f ca="1">COUNTBLANK(INDIRECT("e430"))</f>
        <v>1</v>
      </c>
      <c r="AD430" s="61">
        <f ca="1">COUNTBLANK(INDIRECT("f430"))</f>
        <v>1</v>
      </c>
      <c r="AE430" s="61">
        <f ca="1">COUNTBLANK(INDIRECT("g430"))</f>
        <v>1</v>
      </c>
      <c r="AF430" s="61">
        <f ca="1">COUNTBLANK(INDIRECT("h430"))</f>
        <v>1</v>
      </c>
      <c r="AG430" s="61">
        <f ca="1">COUNTBLANK(INDIRECT("b430"))</f>
        <v>1</v>
      </c>
    </row>
    <row r="431" spans="1:33" x14ac:dyDescent="0.25">
      <c r="A431" s="2">
        <v>99</v>
      </c>
      <c r="B431" s="63"/>
      <c r="C431" s="56"/>
      <c r="D431" s="56"/>
      <c r="E431" s="56"/>
      <c r="F431" s="56"/>
      <c r="G431" s="56"/>
      <c r="H431" s="56"/>
      <c r="I431" s="117" t="str">
        <f ca="1">IF(AND(INDIRECT("H431")&gt;=INDIRECT("F431"),AA431=0,AB431=0,AC431=0,AF431=0),"Yes",IF(AND(INDIRECT("H431")&lt;INDIRECT("F431"),AA431=0,AB431=0,AC431=0,AF431=0),"No","N/A"))</f>
        <v>N/A</v>
      </c>
      <c r="J431" s="174" t="str">
        <f t="shared" ca="1" si="15"/>
        <v>No Error</v>
      </c>
      <c r="K431" s="174"/>
      <c r="L431" s="174"/>
      <c r="AA431" s="61">
        <f ca="1">COUNTBLANK(INDIRECT("C431"))</f>
        <v>1</v>
      </c>
      <c r="AB431" s="61">
        <f ca="1">COUNTBLANK(INDIRECT("d431"))</f>
        <v>1</v>
      </c>
      <c r="AC431" s="61">
        <f ca="1">COUNTBLANK(INDIRECT("e431"))</f>
        <v>1</v>
      </c>
      <c r="AD431" s="61">
        <f ca="1">COUNTBLANK(INDIRECT("f431"))</f>
        <v>1</v>
      </c>
      <c r="AE431" s="61">
        <f ca="1">COUNTBLANK(INDIRECT("g431"))</f>
        <v>1</v>
      </c>
      <c r="AF431" s="61">
        <f ca="1">COUNTBLANK(INDIRECT("h431"))</f>
        <v>1</v>
      </c>
      <c r="AG431" s="61">
        <f ca="1">COUNTBLANK(INDIRECT("b431"))</f>
        <v>1</v>
      </c>
    </row>
    <row r="432" spans="1:33" x14ac:dyDescent="0.25">
      <c r="A432" s="2">
        <v>100</v>
      </c>
      <c r="B432" s="63"/>
      <c r="C432" s="56"/>
      <c r="D432" s="56"/>
      <c r="E432" s="56"/>
      <c r="F432" s="56"/>
      <c r="G432" s="56"/>
      <c r="H432" s="56"/>
      <c r="I432" s="117" t="str">
        <f ca="1">IF(AND(INDIRECT("H432")&gt;=INDIRECT("F432"),AA432=0,AB432=0,AC432=0,AF432=0),"Yes",IF(AND(INDIRECT("H432")&lt;INDIRECT("F432"),AA432=0,AB432=0,AC432=0,AF432=0),"No","N/A"))</f>
        <v>N/A</v>
      </c>
      <c r="J432" s="174" t="str">
        <f t="shared" ca="1" si="15"/>
        <v>No Error</v>
      </c>
      <c r="K432" s="174"/>
      <c r="L432" s="174"/>
      <c r="AA432" s="61">
        <f ca="1">COUNTBLANK(INDIRECT("C432"))</f>
        <v>1</v>
      </c>
      <c r="AB432" s="61">
        <f ca="1">COUNTBLANK(INDIRECT("d432"))</f>
        <v>1</v>
      </c>
      <c r="AC432" s="61">
        <f ca="1">COUNTBLANK(INDIRECT("e432"))</f>
        <v>1</v>
      </c>
      <c r="AD432" s="61">
        <f ca="1">COUNTBLANK(INDIRECT("f432"))</f>
        <v>1</v>
      </c>
      <c r="AE432" s="61">
        <f ca="1">COUNTBLANK(INDIRECT("g432"))</f>
        <v>1</v>
      </c>
      <c r="AF432" s="61">
        <f ca="1">COUNTBLANK(INDIRECT("h432"))</f>
        <v>1</v>
      </c>
      <c r="AG432" s="61">
        <f ca="1">COUNTBLANK(INDIRECT("b432"))</f>
        <v>1</v>
      </c>
    </row>
    <row r="433" spans="1:33" x14ac:dyDescent="0.25">
      <c r="A433" s="2">
        <v>101</v>
      </c>
      <c r="B433" s="63"/>
      <c r="C433" s="56"/>
      <c r="D433" s="56"/>
      <c r="E433" s="56"/>
      <c r="F433" s="56"/>
      <c r="G433" s="56"/>
      <c r="H433" s="56"/>
      <c r="I433" s="117" t="str">
        <f ca="1">IF(AND(INDIRECT("H433")&gt;=INDIRECT("F433"),AA433=0,AB433=0,AC433=0,AF433=0),"Yes",IF(AND(INDIRECT("H433")&lt;INDIRECT("F433"),AA433=0,AB433=0,AC433=0,AF433=0),"No","N/A"))</f>
        <v>N/A</v>
      </c>
      <c r="J433" s="174" t="str">
        <f t="shared" ca="1" si="15"/>
        <v>No Error</v>
      </c>
      <c r="K433" s="174"/>
      <c r="L433" s="174"/>
      <c r="AA433" s="61">
        <f ca="1">COUNTBLANK(INDIRECT("C433"))</f>
        <v>1</v>
      </c>
      <c r="AB433" s="61">
        <f ca="1">COUNTBLANK(INDIRECT("d433"))</f>
        <v>1</v>
      </c>
      <c r="AC433" s="61">
        <f ca="1">COUNTBLANK(INDIRECT("e433"))</f>
        <v>1</v>
      </c>
      <c r="AD433" s="61">
        <f ca="1">COUNTBLANK(INDIRECT("f433"))</f>
        <v>1</v>
      </c>
      <c r="AE433" s="61">
        <f ca="1">COUNTBLANK(INDIRECT("g433"))</f>
        <v>1</v>
      </c>
      <c r="AF433" s="61">
        <f ca="1">COUNTBLANK(INDIRECT("h433"))</f>
        <v>1</v>
      </c>
      <c r="AG433" s="61">
        <f ca="1">COUNTBLANK(INDIRECT("b433"))</f>
        <v>1</v>
      </c>
    </row>
    <row r="434" spans="1:33" x14ac:dyDescent="0.25">
      <c r="A434" s="2">
        <v>102</v>
      </c>
      <c r="B434" s="63"/>
      <c r="C434" s="56"/>
      <c r="D434" s="56"/>
      <c r="E434" s="56"/>
      <c r="F434" s="56"/>
      <c r="G434" s="56"/>
      <c r="H434" s="56"/>
      <c r="I434" s="117" t="str">
        <f ca="1">IF(AND(INDIRECT("H434")&gt;=INDIRECT("F434"),AA434=0,AB434=0,AC434=0,AF434=0),"Yes",IF(AND(INDIRECT("H434")&lt;INDIRECT("F434"),AA434=0,AB434=0,AC434=0,AF434=0),"No","N/A"))</f>
        <v>N/A</v>
      </c>
      <c r="J434" s="174" t="str">
        <f t="shared" ca="1" si="15"/>
        <v>No Error</v>
      </c>
      <c r="K434" s="174"/>
      <c r="L434" s="174"/>
      <c r="AA434" s="61">
        <f ca="1">COUNTBLANK(INDIRECT("C434"))</f>
        <v>1</v>
      </c>
      <c r="AB434" s="61">
        <f ca="1">COUNTBLANK(INDIRECT("d434"))</f>
        <v>1</v>
      </c>
      <c r="AC434" s="61">
        <f ca="1">COUNTBLANK(INDIRECT("e434"))</f>
        <v>1</v>
      </c>
      <c r="AD434" s="61">
        <f ca="1">COUNTBLANK(INDIRECT("f434"))</f>
        <v>1</v>
      </c>
      <c r="AE434" s="61">
        <f ca="1">COUNTBLANK(INDIRECT("g434"))</f>
        <v>1</v>
      </c>
      <c r="AF434" s="61">
        <f ca="1">COUNTBLANK(INDIRECT("h434"))</f>
        <v>1</v>
      </c>
      <c r="AG434" s="61">
        <f ca="1">COUNTBLANK(INDIRECT("b434"))</f>
        <v>1</v>
      </c>
    </row>
    <row r="435" spans="1:33" x14ac:dyDescent="0.25">
      <c r="A435" s="2">
        <v>103</v>
      </c>
      <c r="B435" s="63"/>
      <c r="C435" s="56"/>
      <c r="D435" s="56"/>
      <c r="E435" s="56"/>
      <c r="F435" s="56"/>
      <c r="G435" s="56"/>
      <c r="H435" s="56"/>
      <c r="I435" s="117" t="str">
        <f ca="1">IF(AND(INDIRECT("H435")&gt;=INDIRECT("F435"),AA435=0,AB435=0,AC435=0,AF435=0),"Yes",IF(AND(INDIRECT("H435")&lt;INDIRECT("F435"),AA435=0,AB435=0,AC435=0,AF435=0),"No","N/A"))</f>
        <v>N/A</v>
      </c>
      <c r="J435" s="174" t="str">
        <f t="shared" ca="1" si="15"/>
        <v>No Error</v>
      </c>
      <c r="K435" s="174"/>
      <c r="L435" s="174"/>
      <c r="AA435" s="61">
        <f ca="1">COUNTBLANK(INDIRECT("C435"))</f>
        <v>1</v>
      </c>
      <c r="AB435" s="61">
        <f ca="1">COUNTBLANK(INDIRECT("d435"))</f>
        <v>1</v>
      </c>
      <c r="AC435" s="61">
        <f ca="1">COUNTBLANK(INDIRECT("e435"))</f>
        <v>1</v>
      </c>
      <c r="AD435" s="61">
        <f ca="1">COUNTBLANK(INDIRECT("f435"))</f>
        <v>1</v>
      </c>
      <c r="AE435" s="61">
        <f ca="1">COUNTBLANK(INDIRECT("g435"))</f>
        <v>1</v>
      </c>
      <c r="AF435" s="61">
        <f ca="1">COUNTBLANK(INDIRECT("h435"))</f>
        <v>1</v>
      </c>
      <c r="AG435" s="61">
        <f ca="1">COUNTBLANK(INDIRECT("b435"))</f>
        <v>1</v>
      </c>
    </row>
    <row r="436" spans="1:33" x14ac:dyDescent="0.25">
      <c r="A436" s="2">
        <v>104</v>
      </c>
      <c r="B436" s="63"/>
      <c r="C436" s="56"/>
      <c r="D436" s="56"/>
      <c r="E436" s="56"/>
      <c r="F436" s="56"/>
      <c r="G436" s="56"/>
      <c r="H436" s="56"/>
      <c r="I436" s="117" t="str">
        <f ca="1">IF(AND(INDIRECT("H436")&gt;=INDIRECT("F436"),AA436=0,AB436=0,AC436=0,AF436=0),"Yes",IF(AND(INDIRECT("H436")&lt;INDIRECT("F436"),AA436=0,AB436=0,AC436=0,AF436=0),"No","N/A"))</f>
        <v>N/A</v>
      </c>
      <c r="J436" s="174" t="str">
        <f t="shared" ca="1" si="15"/>
        <v>No Error</v>
      </c>
      <c r="K436" s="174"/>
      <c r="L436" s="174"/>
      <c r="AA436" s="61">
        <f ca="1">COUNTBLANK(INDIRECT("C436"))</f>
        <v>1</v>
      </c>
      <c r="AB436" s="61">
        <f ca="1">COUNTBLANK(INDIRECT("d436"))</f>
        <v>1</v>
      </c>
      <c r="AC436" s="61">
        <f ca="1">COUNTBLANK(INDIRECT("e436"))</f>
        <v>1</v>
      </c>
      <c r="AD436" s="61">
        <f ca="1">COUNTBLANK(INDIRECT("f436"))</f>
        <v>1</v>
      </c>
      <c r="AE436" s="61">
        <f ca="1">COUNTBLANK(INDIRECT("g436"))</f>
        <v>1</v>
      </c>
      <c r="AF436" s="61">
        <f ca="1">COUNTBLANK(INDIRECT("h436"))</f>
        <v>1</v>
      </c>
      <c r="AG436" s="61">
        <f ca="1">COUNTBLANK(INDIRECT("b436"))</f>
        <v>1</v>
      </c>
    </row>
    <row r="437" spans="1:33" x14ac:dyDescent="0.25">
      <c r="A437" s="2">
        <v>105</v>
      </c>
      <c r="B437" s="63"/>
      <c r="C437" s="56"/>
      <c r="D437" s="56"/>
      <c r="E437" s="56"/>
      <c r="F437" s="56"/>
      <c r="G437" s="56"/>
      <c r="H437" s="56"/>
      <c r="I437" s="117" t="str">
        <f ca="1">IF(AND(INDIRECT("H437")&gt;=INDIRECT("F437"),AA437=0,AB437=0,AC437=0,AF437=0),"Yes",IF(AND(INDIRECT("H437")&lt;INDIRECT("F437"),AA437=0,AB437=0,AC437=0,AF437=0),"No","N/A"))</f>
        <v>N/A</v>
      </c>
      <c r="J437" s="174" t="str">
        <f t="shared" ca="1" si="15"/>
        <v>No Error</v>
      </c>
      <c r="K437" s="174"/>
      <c r="L437" s="174"/>
      <c r="AA437" s="61">
        <f ca="1">COUNTBLANK(INDIRECT("C437"))</f>
        <v>1</v>
      </c>
      <c r="AB437" s="61">
        <f ca="1">COUNTBLANK(INDIRECT("d437"))</f>
        <v>1</v>
      </c>
      <c r="AC437" s="61">
        <f ca="1">COUNTBLANK(INDIRECT("e437"))</f>
        <v>1</v>
      </c>
      <c r="AD437" s="61">
        <f ca="1">COUNTBLANK(INDIRECT("f437"))</f>
        <v>1</v>
      </c>
      <c r="AE437" s="61">
        <f ca="1">COUNTBLANK(INDIRECT("g437"))</f>
        <v>1</v>
      </c>
      <c r="AF437" s="61">
        <f ca="1">COUNTBLANK(INDIRECT("h437"))</f>
        <v>1</v>
      </c>
      <c r="AG437" s="61">
        <f ca="1">COUNTBLANK(INDIRECT("b437"))</f>
        <v>1</v>
      </c>
    </row>
    <row r="438" spans="1:33" x14ac:dyDescent="0.25">
      <c r="A438" s="2">
        <v>106</v>
      </c>
      <c r="B438" s="63"/>
      <c r="C438" s="56"/>
      <c r="D438" s="56"/>
      <c r="E438" s="56"/>
      <c r="F438" s="56"/>
      <c r="G438" s="56"/>
      <c r="H438" s="56"/>
      <c r="I438" s="117" t="str">
        <f ca="1">IF(AND(INDIRECT("H438")&gt;=INDIRECT("F438"),AA438=0,AB438=0,AC438=0,AF438=0),"Yes",IF(AND(INDIRECT("H438")&lt;INDIRECT("F438"),AA438=0,AB438=0,AC438=0,AF438=0),"No","N/A"))</f>
        <v>N/A</v>
      </c>
      <c r="J438" s="174" t="str">
        <f t="shared" ca="1" si="15"/>
        <v>No Error</v>
      </c>
      <c r="K438" s="174"/>
      <c r="L438" s="174"/>
      <c r="AA438" s="61">
        <f ca="1">COUNTBLANK(INDIRECT("C438"))</f>
        <v>1</v>
      </c>
      <c r="AB438" s="61">
        <f ca="1">COUNTBLANK(INDIRECT("d438"))</f>
        <v>1</v>
      </c>
      <c r="AC438" s="61">
        <f ca="1">COUNTBLANK(INDIRECT("e438"))</f>
        <v>1</v>
      </c>
      <c r="AD438" s="61">
        <f ca="1">COUNTBLANK(INDIRECT("f438"))</f>
        <v>1</v>
      </c>
      <c r="AE438" s="61">
        <f ca="1">COUNTBLANK(INDIRECT("g438"))</f>
        <v>1</v>
      </c>
      <c r="AF438" s="61">
        <f ca="1">COUNTBLANK(INDIRECT("h438"))</f>
        <v>1</v>
      </c>
      <c r="AG438" s="61">
        <f ca="1">COUNTBLANK(INDIRECT("b438"))</f>
        <v>1</v>
      </c>
    </row>
    <row r="439" spans="1:33" x14ac:dyDescent="0.25">
      <c r="A439" s="2">
        <v>107</v>
      </c>
      <c r="B439" s="63"/>
      <c r="C439" s="56"/>
      <c r="D439" s="56"/>
      <c r="E439" s="56"/>
      <c r="F439" s="56"/>
      <c r="G439" s="56"/>
      <c r="H439" s="56"/>
      <c r="I439" s="117" t="str">
        <f ca="1">IF(AND(INDIRECT("H439")&gt;=INDIRECT("F439"),AA439=0,AB439=0,AC439=0,AF439=0),"Yes",IF(AND(INDIRECT("H439")&lt;INDIRECT("F439"),AA439=0,AB439=0,AC439=0,AF439=0),"No","N/A"))</f>
        <v>N/A</v>
      </c>
      <c r="J439" s="174" t="str">
        <f t="shared" ca="1" si="15"/>
        <v>No Error</v>
      </c>
      <c r="K439" s="174"/>
      <c r="L439" s="174"/>
      <c r="AA439" s="61">
        <f ca="1">COUNTBLANK(INDIRECT("C439"))</f>
        <v>1</v>
      </c>
      <c r="AB439" s="61">
        <f ca="1">COUNTBLANK(INDIRECT("d439"))</f>
        <v>1</v>
      </c>
      <c r="AC439" s="61">
        <f ca="1">COUNTBLANK(INDIRECT("e439"))</f>
        <v>1</v>
      </c>
      <c r="AD439" s="61">
        <f ca="1">COUNTBLANK(INDIRECT("f439"))</f>
        <v>1</v>
      </c>
      <c r="AE439" s="61">
        <f ca="1">COUNTBLANK(INDIRECT("g439"))</f>
        <v>1</v>
      </c>
      <c r="AF439" s="61">
        <f ca="1">COUNTBLANK(INDIRECT("h439"))</f>
        <v>1</v>
      </c>
      <c r="AG439" s="61">
        <f ca="1">COUNTBLANK(INDIRECT("b439"))</f>
        <v>1</v>
      </c>
    </row>
    <row r="440" spans="1:33" x14ac:dyDescent="0.25">
      <c r="A440" s="2">
        <v>108</v>
      </c>
      <c r="B440" s="63"/>
      <c r="C440" s="56"/>
      <c r="D440" s="56"/>
      <c r="E440" s="56"/>
      <c r="F440" s="56"/>
      <c r="G440" s="56"/>
      <c r="H440" s="56"/>
      <c r="I440" s="117" t="str">
        <f ca="1">IF(AND(INDIRECT("H440")&gt;=INDIRECT("F440"),AA440=0,AB440=0,AC440=0,AF440=0),"Yes",IF(AND(INDIRECT("H440")&lt;INDIRECT("F440"),AA440=0,AB440=0,AC440=0,AF440=0),"No","N/A"))</f>
        <v>N/A</v>
      </c>
      <c r="J440" s="174" t="str">
        <f t="shared" ca="1" si="15"/>
        <v>No Error</v>
      </c>
      <c r="K440" s="174"/>
      <c r="L440" s="174"/>
      <c r="AA440" s="61">
        <f ca="1">COUNTBLANK(INDIRECT("C440"))</f>
        <v>1</v>
      </c>
      <c r="AB440" s="61">
        <f ca="1">COUNTBLANK(INDIRECT("d440"))</f>
        <v>1</v>
      </c>
      <c r="AC440" s="61">
        <f ca="1">COUNTBLANK(INDIRECT("e440"))</f>
        <v>1</v>
      </c>
      <c r="AD440" s="61">
        <f ca="1">COUNTBLANK(INDIRECT("f440"))</f>
        <v>1</v>
      </c>
      <c r="AE440" s="61">
        <f ca="1">COUNTBLANK(INDIRECT("g440"))</f>
        <v>1</v>
      </c>
      <c r="AF440" s="61">
        <f ca="1">COUNTBLANK(INDIRECT("h440"))</f>
        <v>1</v>
      </c>
      <c r="AG440" s="61">
        <f ca="1">COUNTBLANK(INDIRECT("b440"))</f>
        <v>1</v>
      </c>
    </row>
    <row r="441" spans="1:33" x14ac:dyDescent="0.25">
      <c r="A441" s="2">
        <v>109</v>
      </c>
      <c r="B441" s="63"/>
      <c r="C441" s="56"/>
      <c r="D441" s="56"/>
      <c r="E441" s="56"/>
      <c r="F441" s="56"/>
      <c r="G441" s="56"/>
      <c r="H441" s="56"/>
      <c r="I441" s="117" t="str">
        <f ca="1">IF(AND(INDIRECT("H441")&gt;=INDIRECT("F441"),AA441=0,AB441=0,AC441=0,AF441=0),"Yes",IF(AND(INDIRECT("H441")&lt;INDIRECT("F441"),AA441=0,AB441=0,AC441=0,AF441=0),"No","N/A"))</f>
        <v>N/A</v>
      </c>
      <c r="J441" s="174" t="str">
        <f t="shared" ca="1" si="15"/>
        <v>No Error</v>
      </c>
      <c r="K441" s="174"/>
      <c r="L441" s="174"/>
      <c r="AA441" s="61">
        <f ca="1">COUNTBLANK(INDIRECT("C441"))</f>
        <v>1</v>
      </c>
      <c r="AB441" s="61">
        <f ca="1">COUNTBLANK(INDIRECT("d441"))</f>
        <v>1</v>
      </c>
      <c r="AC441" s="61">
        <f ca="1">COUNTBLANK(INDIRECT("e441"))</f>
        <v>1</v>
      </c>
      <c r="AD441" s="61">
        <f ca="1">COUNTBLANK(INDIRECT("f441"))</f>
        <v>1</v>
      </c>
      <c r="AE441" s="61">
        <f ca="1">COUNTBLANK(INDIRECT("g441"))</f>
        <v>1</v>
      </c>
      <c r="AF441" s="61">
        <f ca="1">COUNTBLANK(INDIRECT("h441"))</f>
        <v>1</v>
      </c>
      <c r="AG441" s="61">
        <f ca="1">COUNTBLANK(INDIRECT("b441"))</f>
        <v>1</v>
      </c>
    </row>
    <row r="442" spans="1:33" x14ac:dyDescent="0.25">
      <c r="A442" s="2">
        <v>110</v>
      </c>
      <c r="B442" s="63"/>
      <c r="C442" s="56"/>
      <c r="D442" s="56"/>
      <c r="E442" s="56"/>
      <c r="F442" s="56"/>
      <c r="G442" s="56"/>
      <c r="H442" s="56"/>
      <c r="I442" s="117" t="str">
        <f ca="1">IF(AND(INDIRECT("H442")&gt;=INDIRECT("F442"),AA442=0,AB442=0,AC442=0,AF442=0),"Yes",IF(AND(INDIRECT("H442")&lt;INDIRECT("F442"),AA442=0,AB442=0,AC442=0,AF442=0),"No","N/A"))</f>
        <v>N/A</v>
      </c>
      <c r="J442" s="174" t="str">
        <f t="shared" ca="1" si="15"/>
        <v>No Error</v>
      </c>
      <c r="K442" s="174"/>
      <c r="L442" s="174"/>
      <c r="AA442" s="61">
        <f ca="1">COUNTBLANK(INDIRECT("C442"))</f>
        <v>1</v>
      </c>
      <c r="AB442" s="61">
        <f ca="1">COUNTBLANK(INDIRECT("d442"))</f>
        <v>1</v>
      </c>
      <c r="AC442" s="61">
        <f ca="1">COUNTBLANK(INDIRECT("e442"))</f>
        <v>1</v>
      </c>
      <c r="AD442" s="61">
        <f ca="1">COUNTBLANK(INDIRECT("f442"))</f>
        <v>1</v>
      </c>
      <c r="AE442" s="61">
        <f ca="1">COUNTBLANK(INDIRECT("g442"))</f>
        <v>1</v>
      </c>
      <c r="AF442" s="61">
        <f ca="1">COUNTBLANK(INDIRECT("h442"))</f>
        <v>1</v>
      </c>
      <c r="AG442" s="61">
        <f ca="1">COUNTBLANK(INDIRECT("b442"))</f>
        <v>1</v>
      </c>
    </row>
    <row r="443" spans="1:33" x14ac:dyDescent="0.25">
      <c r="A443" s="2">
        <v>111</v>
      </c>
      <c r="B443" s="63"/>
      <c r="C443" s="56"/>
      <c r="D443" s="56"/>
      <c r="E443" s="56"/>
      <c r="F443" s="56"/>
      <c r="G443" s="56"/>
      <c r="H443" s="56"/>
      <c r="I443" s="117" t="str">
        <f ca="1">IF(AND(INDIRECT("H443")&gt;=INDIRECT("F443"),AA443=0,AB443=0,AC443=0,AF443=0),"Yes",IF(AND(INDIRECT("H443")&lt;INDIRECT("F443"),AA443=0,AB443=0,AC443=0,AF443=0),"No","N/A"))</f>
        <v>N/A</v>
      </c>
      <c r="J443" s="174" t="str">
        <f t="shared" ca="1" si="15"/>
        <v>No Error</v>
      </c>
      <c r="K443" s="174"/>
      <c r="L443" s="174"/>
      <c r="AA443" s="61">
        <f ca="1">COUNTBLANK(INDIRECT("C443"))</f>
        <v>1</v>
      </c>
      <c r="AB443" s="61">
        <f ca="1">COUNTBLANK(INDIRECT("d443"))</f>
        <v>1</v>
      </c>
      <c r="AC443" s="61">
        <f ca="1">COUNTBLANK(INDIRECT("e443"))</f>
        <v>1</v>
      </c>
      <c r="AD443" s="61">
        <f ca="1">COUNTBLANK(INDIRECT("f443"))</f>
        <v>1</v>
      </c>
      <c r="AE443" s="61">
        <f ca="1">COUNTBLANK(INDIRECT("g443"))</f>
        <v>1</v>
      </c>
      <c r="AF443" s="61">
        <f ca="1">COUNTBLANK(INDIRECT("h443"))</f>
        <v>1</v>
      </c>
      <c r="AG443" s="61">
        <f ca="1">COUNTBLANK(INDIRECT("b443"))</f>
        <v>1</v>
      </c>
    </row>
    <row r="444" spans="1:33" x14ac:dyDescent="0.25">
      <c r="A444" s="2">
        <v>112</v>
      </c>
      <c r="B444" s="63"/>
      <c r="C444" s="56"/>
      <c r="D444" s="56"/>
      <c r="E444" s="56"/>
      <c r="F444" s="56"/>
      <c r="G444" s="56"/>
      <c r="H444" s="56"/>
      <c r="I444" s="117" t="str">
        <f ca="1">IF(AND(INDIRECT("H444")&gt;=INDIRECT("F444"),AA444=0,AB444=0,AC444=0,AF444=0),"Yes",IF(AND(INDIRECT("H444")&lt;INDIRECT("F444"),AA444=0,AB444=0,AC444=0,AF444=0),"No","N/A"))</f>
        <v>N/A</v>
      </c>
      <c r="J444" s="174" t="str">
        <f t="shared" ca="1" si="15"/>
        <v>No Error</v>
      </c>
      <c r="K444" s="174"/>
      <c r="L444" s="174"/>
      <c r="AA444" s="61">
        <f ca="1">COUNTBLANK(INDIRECT("C444"))</f>
        <v>1</v>
      </c>
      <c r="AB444" s="61">
        <f ca="1">COUNTBLANK(INDIRECT("d444"))</f>
        <v>1</v>
      </c>
      <c r="AC444" s="61">
        <f ca="1">COUNTBLANK(INDIRECT("e444"))</f>
        <v>1</v>
      </c>
      <c r="AD444" s="61">
        <f ca="1">COUNTBLANK(INDIRECT("f444"))</f>
        <v>1</v>
      </c>
      <c r="AE444" s="61">
        <f ca="1">COUNTBLANK(INDIRECT("g444"))</f>
        <v>1</v>
      </c>
      <c r="AF444" s="61">
        <f ca="1">COUNTBLANK(INDIRECT("h444"))</f>
        <v>1</v>
      </c>
      <c r="AG444" s="61">
        <f ca="1">COUNTBLANK(INDIRECT("b444"))</f>
        <v>1</v>
      </c>
    </row>
    <row r="445" spans="1:33" x14ac:dyDescent="0.25">
      <c r="A445" s="2">
        <v>113</v>
      </c>
      <c r="B445" s="63"/>
      <c r="C445" s="56"/>
      <c r="D445" s="56"/>
      <c r="E445" s="56"/>
      <c r="F445" s="56"/>
      <c r="G445" s="56"/>
      <c r="H445" s="56"/>
      <c r="I445" s="117" t="str">
        <f ca="1">IF(AND(INDIRECT("H445")&gt;=INDIRECT("F445"),AA445=0,AB445=0,AC445=0,AF445=0),"Yes",IF(AND(INDIRECT("H445")&lt;INDIRECT("F445"),AA445=0,AB445=0,AC445=0,AF445=0),"No","N/A"))</f>
        <v>N/A</v>
      </c>
      <c r="J445" s="174" t="str">
        <f t="shared" ca="1" si="15"/>
        <v>No Error</v>
      </c>
      <c r="K445" s="174"/>
      <c r="L445" s="174"/>
      <c r="AA445" s="61">
        <f ca="1">COUNTBLANK(INDIRECT("C445"))</f>
        <v>1</v>
      </c>
      <c r="AB445" s="61">
        <f ca="1">COUNTBLANK(INDIRECT("d445"))</f>
        <v>1</v>
      </c>
      <c r="AC445" s="61">
        <f ca="1">COUNTBLANK(INDIRECT("e445"))</f>
        <v>1</v>
      </c>
      <c r="AD445" s="61">
        <f ca="1">COUNTBLANK(INDIRECT("f445"))</f>
        <v>1</v>
      </c>
      <c r="AE445" s="61">
        <f ca="1">COUNTBLANK(INDIRECT("g445"))</f>
        <v>1</v>
      </c>
      <c r="AF445" s="61">
        <f ca="1">COUNTBLANK(INDIRECT("h445"))</f>
        <v>1</v>
      </c>
      <c r="AG445" s="61">
        <f ca="1">COUNTBLANK(INDIRECT("b445"))</f>
        <v>1</v>
      </c>
    </row>
    <row r="446" spans="1:33" x14ac:dyDescent="0.25">
      <c r="A446" s="2">
        <v>114</v>
      </c>
      <c r="B446" s="63"/>
      <c r="C446" s="56"/>
      <c r="D446" s="56"/>
      <c r="E446" s="56"/>
      <c r="F446" s="56"/>
      <c r="G446" s="56"/>
      <c r="H446" s="56"/>
      <c r="I446" s="117" t="str">
        <f ca="1">IF(AND(INDIRECT("H446")&gt;=INDIRECT("F446"),AA446=0,AB446=0,AC446=0,AF446=0),"Yes",IF(AND(INDIRECT("H446")&lt;INDIRECT("F446"),AA446=0,AB446=0,AC446=0,AF446=0),"No","N/A"))</f>
        <v>N/A</v>
      </c>
      <c r="J446" s="174" t="str">
        <f t="shared" ca="1" si="15"/>
        <v>No Error</v>
      </c>
      <c r="K446" s="174"/>
      <c r="L446" s="174"/>
      <c r="AA446" s="61">
        <f ca="1">COUNTBLANK(INDIRECT("C446"))</f>
        <v>1</v>
      </c>
      <c r="AB446" s="61">
        <f ca="1">COUNTBLANK(INDIRECT("d446"))</f>
        <v>1</v>
      </c>
      <c r="AC446" s="61">
        <f ca="1">COUNTBLANK(INDIRECT("e446"))</f>
        <v>1</v>
      </c>
      <c r="AD446" s="61">
        <f ca="1">COUNTBLANK(INDIRECT("f446"))</f>
        <v>1</v>
      </c>
      <c r="AE446" s="61">
        <f ca="1">COUNTBLANK(INDIRECT("g446"))</f>
        <v>1</v>
      </c>
      <c r="AF446" s="61">
        <f ca="1">COUNTBLANK(INDIRECT("h446"))</f>
        <v>1</v>
      </c>
      <c r="AG446" s="61">
        <f ca="1">COUNTBLANK(INDIRECT("b446"))</f>
        <v>1</v>
      </c>
    </row>
    <row r="447" spans="1:33" x14ac:dyDescent="0.25">
      <c r="A447" s="2">
        <v>115</v>
      </c>
      <c r="B447" s="63"/>
      <c r="C447" s="56"/>
      <c r="D447" s="56"/>
      <c r="E447" s="56"/>
      <c r="F447" s="56"/>
      <c r="G447" s="56"/>
      <c r="H447" s="56"/>
      <c r="I447" s="117" t="str">
        <f ca="1">IF(AND(INDIRECT("H447")&gt;=INDIRECT("F447"),AA447=0,AB447=0,AC447=0,AF447=0),"Yes",IF(AND(INDIRECT("H447")&lt;INDIRECT("F447"),AA447=0,AB447=0,AC447=0,AF447=0),"No","N/A"))</f>
        <v>N/A</v>
      </c>
      <c r="J447" s="174" t="str">
        <f t="shared" ca="1" si="15"/>
        <v>No Error</v>
      </c>
      <c r="K447" s="174"/>
      <c r="L447" s="174"/>
      <c r="AA447" s="61">
        <f ca="1">COUNTBLANK(INDIRECT("C447"))</f>
        <v>1</v>
      </c>
      <c r="AB447" s="61">
        <f ca="1">COUNTBLANK(INDIRECT("d447"))</f>
        <v>1</v>
      </c>
      <c r="AC447" s="61">
        <f ca="1">COUNTBLANK(INDIRECT("e447"))</f>
        <v>1</v>
      </c>
      <c r="AD447" s="61">
        <f ca="1">COUNTBLANK(INDIRECT("f447"))</f>
        <v>1</v>
      </c>
      <c r="AE447" s="61">
        <f ca="1">COUNTBLANK(INDIRECT("g447"))</f>
        <v>1</v>
      </c>
      <c r="AF447" s="61">
        <f ca="1">COUNTBLANK(INDIRECT("h447"))</f>
        <v>1</v>
      </c>
      <c r="AG447" s="61">
        <f ca="1">COUNTBLANK(INDIRECT("b447"))</f>
        <v>1</v>
      </c>
    </row>
    <row r="448" spans="1:33" x14ac:dyDescent="0.25">
      <c r="A448" s="2">
        <v>116</v>
      </c>
      <c r="B448" s="63"/>
      <c r="C448" s="56"/>
      <c r="D448" s="56"/>
      <c r="E448" s="56"/>
      <c r="F448" s="56"/>
      <c r="G448" s="56"/>
      <c r="H448" s="56"/>
      <c r="I448" s="117" t="str">
        <f ca="1">IF(AND(INDIRECT("H448")&gt;=INDIRECT("F448"),AA448=0,AB448=0,AC448=0,AF448=0),"Yes",IF(AND(INDIRECT("H448")&lt;INDIRECT("F448"),AA448=0,AB448=0,AC448=0,AF448=0),"No","N/A"))</f>
        <v>N/A</v>
      </c>
      <c r="J448" s="174" t="str">
        <f t="shared" ca="1" si="15"/>
        <v>No Error</v>
      </c>
      <c r="K448" s="174"/>
      <c r="L448" s="174"/>
      <c r="AA448" s="61">
        <f ca="1">COUNTBLANK(INDIRECT("C448"))</f>
        <v>1</v>
      </c>
      <c r="AB448" s="61">
        <f ca="1">COUNTBLANK(INDIRECT("d448"))</f>
        <v>1</v>
      </c>
      <c r="AC448" s="61">
        <f ca="1">COUNTBLANK(INDIRECT("e448"))</f>
        <v>1</v>
      </c>
      <c r="AD448" s="61">
        <f ca="1">COUNTBLANK(INDIRECT("f448"))</f>
        <v>1</v>
      </c>
      <c r="AE448" s="61">
        <f ca="1">COUNTBLANK(INDIRECT("g448"))</f>
        <v>1</v>
      </c>
      <c r="AF448" s="61">
        <f ca="1">COUNTBLANK(INDIRECT("h448"))</f>
        <v>1</v>
      </c>
      <c r="AG448" s="61">
        <f ca="1">COUNTBLANK(INDIRECT("b448"))</f>
        <v>1</v>
      </c>
    </row>
    <row r="449" spans="1:33" x14ac:dyDescent="0.25">
      <c r="A449" s="2">
        <v>117</v>
      </c>
      <c r="B449" s="63"/>
      <c r="C449" s="56"/>
      <c r="D449" s="56"/>
      <c r="E449" s="56"/>
      <c r="F449" s="56"/>
      <c r="G449" s="56"/>
      <c r="H449" s="56"/>
      <c r="I449" s="117" t="str">
        <f ca="1">IF(AND(INDIRECT("H449")&gt;=INDIRECT("F449"),AA449=0,AB449=0,AC449=0,AF449=0),"Yes",IF(AND(INDIRECT("H449")&lt;INDIRECT("F449"),AA449=0,AB449=0,AC449=0,AF449=0),"No","N/A"))</f>
        <v>N/A</v>
      </c>
      <c r="J449" s="174" t="str">
        <f t="shared" ca="1" si="15"/>
        <v>No Error</v>
      </c>
      <c r="K449" s="174"/>
      <c r="L449" s="174"/>
      <c r="AA449" s="61">
        <f ca="1">COUNTBLANK(INDIRECT("C449"))</f>
        <v>1</v>
      </c>
      <c r="AB449" s="61">
        <f ca="1">COUNTBLANK(INDIRECT("d449"))</f>
        <v>1</v>
      </c>
      <c r="AC449" s="61">
        <f ca="1">COUNTBLANK(INDIRECT("e449"))</f>
        <v>1</v>
      </c>
      <c r="AD449" s="61">
        <f ca="1">COUNTBLANK(INDIRECT("f449"))</f>
        <v>1</v>
      </c>
      <c r="AE449" s="61">
        <f ca="1">COUNTBLANK(INDIRECT("g449"))</f>
        <v>1</v>
      </c>
      <c r="AF449" s="61">
        <f ca="1">COUNTBLANK(INDIRECT("h449"))</f>
        <v>1</v>
      </c>
      <c r="AG449" s="61">
        <f ca="1">COUNTBLANK(INDIRECT("b449"))</f>
        <v>1</v>
      </c>
    </row>
    <row r="450" spans="1:33" x14ac:dyDescent="0.25">
      <c r="A450" s="2">
        <v>118</v>
      </c>
      <c r="B450" s="63"/>
      <c r="C450" s="56"/>
      <c r="D450" s="56"/>
      <c r="E450" s="56"/>
      <c r="F450" s="56"/>
      <c r="G450" s="56"/>
      <c r="H450" s="56"/>
      <c r="I450" s="117" t="str">
        <f ca="1">IF(AND(INDIRECT("H450")&gt;=INDIRECT("F450"),AA450=0,AB450=0,AC450=0,AF450=0),"Yes",IF(AND(INDIRECT("H450")&lt;INDIRECT("F450"),AA450=0,AB450=0,AC450=0,AF450=0),"No","N/A"))</f>
        <v>N/A</v>
      </c>
      <c r="J450" s="174" t="str">
        <f t="shared" ca="1" si="15"/>
        <v>No Error</v>
      </c>
      <c r="K450" s="174"/>
      <c r="L450" s="174"/>
      <c r="AA450" s="61">
        <f ca="1">COUNTBLANK(INDIRECT("C450"))</f>
        <v>1</v>
      </c>
      <c r="AB450" s="61">
        <f ca="1">COUNTBLANK(INDIRECT("d450"))</f>
        <v>1</v>
      </c>
      <c r="AC450" s="61">
        <f ca="1">COUNTBLANK(INDIRECT("e450"))</f>
        <v>1</v>
      </c>
      <c r="AD450" s="61">
        <f ca="1">COUNTBLANK(INDIRECT("f450"))</f>
        <v>1</v>
      </c>
      <c r="AE450" s="61">
        <f ca="1">COUNTBLANK(INDIRECT("g450"))</f>
        <v>1</v>
      </c>
      <c r="AF450" s="61">
        <f ca="1">COUNTBLANK(INDIRECT("h450"))</f>
        <v>1</v>
      </c>
      <c r="AG450" s="61">
        <f ca="1">COUNTBLANK(INDIRECT("b450"))</f>
        <v>1</v>
      </c>
    </row>
    <row r="451" spans="1:33" x14ac:dyDescent="0.25">
      <c r="A451" s="2">
        <v>119</v>
      </c>
      <c r="B451" s="63"/>
      <c r="C451" s="56"/>
      <c r="D451" s="56"/>
      <c r="E451" s="56"/>
      <c r="F451" s="56"/>
      <c r="G451" s="56"/>
      <c r="H451" s="56"/>
      <c r="I451" s="117" t="str">
        <f ca="1">IF(AND(INDIRECT("H451")&gt;=INDIRECT("F451"),AA451=0,AB451=0,AC451=0,AF451=0),"Yes",IF(AND(INDIRECT("H451")&lt;INDIRECT("F451"),AA451=0,AB451=0,AC451=0,AF451=0),"No","N/A"))</f>
        <v>N/A</v>
      </c>
      <c r="J451" s="174" t="str">
        <f t="shared" ca="1" si="15"/>
        <v>No Error</v>
      </c>
      <c r="K451" s="174"/>
      <c r="L451" s="174"/>
      <c r="AA451" s="61">
        <f ca="1">COUNTBLANK(INDIRECT("C451"))</f>
        <v>1</v>
      </c>
      <c r="AB451" s="61">
        <f ca="1">COUNTBLANK(INDIRECT("d451"))</f>
        <v>1</v>
      </c>
      <c r="AC451" s="61">
        <f ca="1">COUNTBLANK(INDIRECT("e451"))</f>
        <v>1</v>
      </c>
      <c r="AD451" s="61">
        <f ca="1">COUNTBLANK(INDIRECT("f451"))</f>
        <v>1</v>
      </c>
      <c r="AE451" s="61">
        <f ca="1">COUNTBLANK(INDIRECT("g451"))</f>
        <v>1</v>
      </c>
      <c r="AF451" s="61">
        <f ca="1">COUNTBLANK(INDIRECT("h451"))</f>
        <v>1</v>
      </c>
      <c r="AG451" s="61">
        <f ca="1">COUNTBLANK(INDIRECT("b451"))</f>
        <v>1</v>
      </c>
    </row>
    <row r="452" spans="1:33" x14ac:dyDescent="0.25">
      <c r="A452" s="2">
        <v>120</v>
      </c>
      <c r="B452" s="63"/>
      <c r="C452" s="56"/>
      <c r="D452" s="56"/>
      <c r="E452" s="56"/>
      <c r="F452" s="56"/>
      <c r="G452" s="56"/>
      <c r="H452" s="56"/>
      <c r="I452" s="117" t="str">
        <f ca="1">IF(AND(INDIRECT("H452")&gt;=INDIRECT("F452"),AA452=0,AB452=0,AC452=0,AF452=0),"Yes",IF(AND(INDIRECT("H452")&lt;INDIRECT("F452"),AA452=0,AB452=0,AC452=0,AF452=0),"No","N/A"))</f>
        <v>N/A</v>
      </c>
      <c r="J452" s="174" t="str">
        <f t="shared" ca="1" si="15"/>
        <v>No Error</v>
      </c>
      <c r="K452" s="174"/>
      <c r="L452" s="174"/>
      <c r="AA452" s="61">
        <f ca="1">COUNTBLANK(INDIRECT("C452"))</f>
        <v>1</v>
      </c>
      <c r="AB452" s="61">
        <f ca="1">COUNTBLANK(INDIRECT("d452"))</f>
        <v>1</v>
      </c>
      <c r="AC452" s="61">
        <f ca="1">COUNTBLANK(INDIRECT("e452"))</f>
        <v>1</v>
      </c>
      <c r="AD452" s="61">
        <f ca="1">COUNTBLANK(INDIRECT("f452"))</f>
        <v>1</v>
      </c>
      <c r="AE452" s="61">
        <f ca="1">COUNTBLANK(INDIRECT("g452"))</f>
        <v>1</v>
      </c>
      <c r="AF452" s="61">
        <f ca="1">COUNTBLANK(INDIRECT("h452"))</f>
        <v>1</v>
      </c>
      <c r="AG452" s="61">
        <f ca="1">COUNTBLANK(INDIRECT("b452"))</f>
        <v>1</v>
      </c>
    </row>
    <row r="453" spans="1:33" x14ac:dyDescent="0.25">
      <c r="A453" s="2">
        <v>121</v>
      </c>
      <c r="B453" s="63"/>
      <c r="C453" s="56"/>
      <c r="D453" s="56"/>
      <c r="E453" s="56"/>
      <c r="F453" s="56"/>
      <c r="G453" s="56"/>
      <c r="H453" s="56"/>
      <c r="I453" s="117" t="str">
        <f ca="1">IF(AND(INDIRECT("H453")&gt;=INDIRECT("F453"),AA453=0,AB453=0,AC453=0,AF453=0),"Yes",IF(AND(INDIRECT("H453")&lt;INDIRECT("F453"),AA453=0,AB453=0,AC453=0,AF453=0),"No","N/A"))</f>
        <v>N/A</v>
      </c>
      <c r="J453" s="174" t="str">
        <f t="shared" ca="1" si="15"/>
        <v>No Error</v>
      </c>
      <c r="K453" s="174"/>
      <c r="L453" s="174"/>
      <c r="AA453" s="61">
        <f ca="1">COUNTBLANK(INDIRECT("C453"))</f>
        <v>1</v>
      </c>
      <c r="AB453" s="61">
        <f ca="1">COUNTBLANK(INDIRECT("d453"))</f>
        <v>1</v>
      </c>
      <c r="AC453" s="61">
        <f ca="1">COUNTBLANK(INDIRECT("e453"))</f>
        <v>1</v>
      </c>
      <c r="AD453" s="61">
        <f ca="1">COUNTBLANK(INDIRECT("f453"))</f>
        <v>1</v>
      </c>
      <c r="AE453" s="61">
        <f ca="1">COUNTBLANK(INDIRECT("g453"))</f>
        <v>1</v>
      </c>
      <c r="AF453" s="61">
        <f ca="1">COUNTBLANK(INDIRECT("h453"))</f>
        <v>1</v>
      </c>
      <c r="AG453" s="61">
        <f ca="1">COUNTBLANK(INDIRECT("b453"))</f>
        <v>1</v>
      </c>
    </row>
    <row r="454" spans="1:33" x14ac:dyDescent="0.25">
      <c r="A454" s="2">
        <v>122</v>
      </c>
      <c r="B454" s="63"/>
      <c r="C454" s="56"/>
      <c r="D454" s="56"/>
      <c r="E454" s="56"/>
      <c r="F454" s="56"/>
      <c r="G454" s="56"/>
      <c r="H454" s="56"/>
      <c r="I454" s="117" t="str">
        <f ca="1">IF(AND(INDIRECT("H454")&gt;=INDIRECT("F454"),AA454=0,AB454=0,AC454=0,AF454=0),"Yes",IF(AND(INDIRECT("H454")&lt;INDIRECT("F454"),AA454=0,AB454=0,AC454=0,AF454=0),"No","N/A"))</f>
        <v>N/A</v>
      </c>
      <c r="J454" s="174" t="str">
        <f t="shared" ca="1" si="15"/>
        <v>No Error</v>
      </c>
      <c r="K454" s="174"/>
      <c r="L454" s="174"/>
      <c r="AA454" s="61">
        <f ca="1">COUNTBLANK(INDIRECT("C454"))</f>
        <v>1</v>
      </c>
      <c r="AB454" s="61">
        <f ca="1">COUNTBLANK(INDIRECT("d454"))</f>
        <v>1</v>
      </c>
      <c r="AC454" s="61">
        <f ca="1">COUNTBLANK(INDIRECT("e454"))</f>
        <v>1</v>
      </c>
      <c r="AD454" s="61">
        <f ca="1">COUNTBLANK(INDIRECT("f454"))</f>
        <v>1</v>
      </c>
      <c r="AE454" s="61">
        <f ca="1">COUNTBLANK(INDIRECT("g454"))</f>
        <v>1</v>
      </c>
      <c r="AF454" s="61">
        <f ca="1">COUNTBLANK(INDIRECT("h454"))</f>
        <v>1</v>
      </c>
      <c r="AG454" s="61">
        <f ca="1">COUNTBLANK(INDIRECT("b454"))</f>
        <v>1</v>
      </c>
    </row>
    <row r="455" spans="1:33" x14ac:dyDescent="0.25">
      <c r="A455" s="2">
        <v>123</v>
      </c>
      <c r="B455" s="63"/>
      <c r="C455" s="56"/>
      <c r="D455" s="56"/>
      <c r="E455" s="56"/>
      <c r="F455" s="56"/>
      <c r="G455" s="56"/>
      <c r="H455" s="56"/>
      <c r="I455" s="117" t="str">
        <f ca="1">IF(AND(INDIRECT("H455")&gt;=INDIRECT("F455"),AA455=0,AB455=0,AC455=0,AF455=0),"Yes",IF(AND(INDIRECT("H455")&lt;INDIRECT("F455"),AA455=0,AB455=0,AC455=0,AF455=0),"No","N/A"))</f>
        <v>N/A</v>
      </c>
      <c r="J455" s="174" t="str">
        <f t="shared" ca="1" si="15"/>
        <v>No Error</v>
      </c>
      <c r="K455" s="174"/>
      <c r="L455" s="174"/>
      <c r="AA455" s="61">
        <f ca="1">COUNTBLANK(INDIRECT("C455"))</f>
        <v>1</v>
      </c>
      <c r="AB455" s="61">
        <f ca="1">COUNTBLANK(INDIRECT("d455"))</f>
        <v>1</v>
      </c>
      <c r="AC455" s="61">
        <f ca="1">COUNTBLANK(INDIRECT("e455"))</f>
        <v>1</v>
      </c>
      <c r="AD455" s="61">
        <f ca="1">COUNTBLANK(INDIRECT("f455"))</f>
        <v>1</v>
      </c>
      <c r="AE455" s="61">
        <f ca="1">COUNTBLANK(INDIRECT("g455"))</f>
        <v>1</v>
      </c>
      <c r="AF455" s="61">
        <f ca="1">COUNTBLANK(INDIRECT("h455"))</f>
        <v>1</v>
      </c>
      <c r="AG455" s="61">
        <f ca="1">COUNTBLANK(INDIRECT("b455"))</f>
        <v>1</v>
      </c>
    </row>
    <row r="456" spans="1:33" x14ac:dyDescent="0.25">
      <c r="A456" s="2">
        <v>124</v>
      </c>
      <c r="B456" s="63"/>
      <c r="C456" s="56"/>
      <c r="D456" s="56"/>
      <c r="E456" s="56"/>
      <c r="F456" s="56"/>
      <c r="G456" s="56"/>
      <c r="H456" s="56"/>
      <c r="I456" s="117" t="str">
        <f ca="1">IF(AND(INDIRECT("H456")&gt;=INDIRECT("F456"),AA456=0,AB456=0,AC456=0,AF456=0),"Yes",IF(AND(INDIRECT("H456")&lt;INDIRECT("F456"),AA456=0,AB456=0,AC456=0,AF456=0),"No","N/A"))</f>
        <v>N/A</v>
      </c>
      <c r="J456" s="174" t="str">
        <f t="shared" ca="1" si="15"/>
        <v>No Error</v>
      </c>
      <c r="K456" s="174"/>
      <c r="L456" s="174"/>
      <c r="AA456" s="61">
        <f ca="1">COUNTBLANK(INDIRECT("C456"))</f>
        <v>1</v>
      </c>
      <c r="AB456" s="61">
        <f ca="1">COUNTBLANK(INDIRECT("d456"))</f>
        <v>1</v>
      </c>
      <c r="AC456" s="61">
        <f ca="1">COUNTBLANK(INDIRECT("e456"))</f>
        <v>1</v>
      </c>
      <c r="AD456" s="61">
        <f ca="1">COUNTBLANK(INDIRECT("f456"))</f>
        <v>1</v>
      </c>
      <c r="AE456" s="61">
        <f ca="1">COUNTBLANK(INDIRECT("g456"))</f>
        <v>1</v>
      </c>
      <c r="AF456" s="61">
        <f ca="1">COUNTBLANK(INDIRECT("h456"))</f>
        <v>1</v>
      </c>
      <c r="AG456" s="61">
        <f ca="1">COUNTBLANK(INDIRECT("b456"))</f>
        <v>1</v>
      </c>
    </row>
    <row r="457" spans="1:33" x14ac:dyDescent="0.25">
      <c r="A457" s="2">
        <v>125</v>
      </c>
      <c r="B457" s="63"/>
      <c r="C457" s="56"/>
      <c r="D457" s="56"/>
      <c r="E457" s="56"/>
      <c r="F457" s="56"/>
      <c r="G457" s="56"/>
      <c r="H457" s="56"/>
      <c r="I457" s="117" t="str">
        <f ca="1">IF(AND(INDIRECT("H457")&gt;=INDIRECT("F457"),AA457=0,AB457=0,AC457=0,AF457=0),"Yes",IF(AND(INDIRECT("H457")&lt;INDIRECT("F457"),AA457=0,AB457=0,AC457=0,AF457=0),"No","N/A"))</f>
        <v>N/A</v>
      </c>
      <c r="J457" s="174" t="str">
        <f t="shared" ca="1" si="15"/>
        <v>No Error</v>
      </c>
      <c r="K457" s="174"/>
      <c r="L457" s="174"/>
      <c r="AA457" s="61">
        <f ca="1">COUNTBLANK(INDIRECT("C457"))</f>
        <v>1</v>
      </c>
      <c r="AB457" s="61">
        <f ca="1">COUNTBLANK(INDIRECT("d457"))</f>
        <v>1</v>
      </c>
      <c r="AC457" s="61">
        <f ca="1">COUNTBLANK(INDIRECT("e457"))</f>
        <v>1</v>
      </c>
      <c r="AD457" s="61">
        <f ca="1">COUNTBLANK(INDIRECT("f457"))</f>
        <v>1</v>
      </c>
      <c r="AE457" s="61">
        <f ca="1">COUNTBLANK(INDIRECT("g457"))</f>
        <v>1</v>
      </c>
      <c r="AF457" s="61">
        <f ca="1">COUNTBLANK(INDIRECT("h457"))</f>
        <v>1</v>
      </c>
      <c r="AG457" s="61">
        <f ca="1">COUNTBLANK(INDIRECT("b457"))</f>
        <v>1</v>
      </c>
    </row>
    <row r="458" spans="1:33" x14ac:dyDescent="0.25">
      <c r="A458" s="2">
        <v>126</v>
      </c>
      <c r="B458" s="63"/>
      <c r="C458" s="56"/>
      <c r="D458" s="56"/>
      <c r="E458" s="56"/>
      <c r="F458" s="56"/>
      <c r="G458" s="56"/>
      <c r="H458" s="56"/>
      <c r="I458" s="117" t="str">
        <f ca="1">IF(AND(INDIRECT("H458")&gt;=INDIRECT("F458"),AA458=0,AB458=0,AC458=0,AF458=0),"Yes",IF(AND(INDIRECT("H458")&lt;INDIRECT("F458"),AA458=0,AB458=0,AC458=0,AF458=0),"No","N/A"))</f>
        <v>N/A</v>
      </c>
      <c r="J458" s="174" t="str">
        <f t="shared" ca="1" si="15"/>
        <v>No Error</v>
      </c>
      <c r="K458" s="174"/>
      <c r="L458" s="174"/>
      <c r="AA458" s="61">
        <f ca="1">COUNTBLANK(INDIRECT("C458"))</f>
        <v>1</v>
      </c>
      <c r="AB458" s="61">
        <f ca="1">COUNTBLANK(INDIRECT("d458"))</f>
        <v>1</v>
      </c>
      <c r="AC458" s="61">
        <f ca="1">COUNTBLANK(INDIRECT("e458"))</f>
        <v>1</v>
      </c>
      <c r="AD458" s="61">
        <f ca="1">COUNTBLANK(INDIRECT("f458"))</f>
        <v>1</v>
      </c>
      <c r="AE458" s="61">
        <f ca="1">COUNTBLANK(INDIRECT("g458"))</f>
        <v>1</v>
      </c>
      <c r="AF458" s="61">
        <f ca="1">COUNTBLANK(INDIRECT("h458"))</f>
        <v>1</v>
      </c>
      <c r="AG458" s="61">
        <f ca="1">COUNTBLANK(INDIRECT("b458"))</f>
        <v>1</v>
      </c>
    </row>
    <row r="459" spans="1:33" x14ac:dyDescent="0.25">
      <c r="A459" s="2">
        <v>127</v>
      </c>
      <c r="B459" s="63"/>
      <c r="C459" s="56"/>
      <c r="D459" s="56"/>
      <c r="E459" s="56"/>
      <c r="F459" s="56"/>
      <c r="G459" s="56"/>
      <c r="H459" s="56"/>
      <c r="I459" s="117" t="str">
        <f ca="1">IF(AND(INDIRECT("H459")&gt;=INDIRECT("F459"),AA459=0,AB459=0,AC459=0,AF459=0),"Yes",IF(AND(INDIRECT("H459")&lt;INDIRECT("F459"),AA459=0,AB459=0,AC459=0,AF459=0),"No","N/A"))</f>
        <v>N/A</v>
      </c>
      <c r="J459" s="174" t="str">
        <f t="shared" ca="1" si="15"/>
        <v>No Error</v>
      </c>
      <c r="K459" s="174"/>
      <c r="L459" s="174"/>
      <c r="AA459" s="61">
        <f ca="1">COUNTBLANK(INDIRECT("C459"))</f>
        <v>1</v>
      </c>
      <c r="AB459" s="61">
        <f ca="1">COUNTBLANK(INDIRECT("d459"))</f>
        <v>1</v>
      </c>
      <c r="AC459" s="61">
        <f ca="1">COUNTBLANK(INDIRECT("e459"))</f>
        <v>1</v>
      </c>
      <c r="AD459" s="61">
        <f ca="1">COUNTBLANK(INDIRECT("f459"))</f>
        <v>1</v>
      </c>
      <c r="AE459" s="61">
        <f ca="1">COUNTBLANK(INDIRECT("g459"))</f>
        <v>1</v>
      </c>
      <c r="AF459" s="61">
        <f ca="1">COUNTBLANK(INDIRECT("h459"))</f>
        <v>1</v>
      </c>
      <c r="AG459" s="61">
        <f ca="1">COUNTBLANK(INDIRECT("b459"))</f>
        <v>1</v>
      </c>
    </row>
    <row r="460" spans="1:33" x14ac:dyDescent="0.25">
      <c r="A460" s="2">
        <v>128</v>
      </c>
      <c r="B460" s="63"/>
      <c r="C460" s="56"/>
      <c r="D460" s="56"/>
      <c r="E460" s="56"/>
      <c r="F460" s="56"/>
      <c r="G460" s="56"/>
      <c r="H460" s="56"/>
      <c r="I460" s="117" t="str">
        <f ca="1">IF(AND(INDIRECT("H460")&gt;=INDIRECT("F460"),AA460=0,AB460=0,AC460=0,AF460=0),"Yes",IF(AND(INDIRECT("H460")&lt;INDIRECT("F460"),AA460=0,AB460=0,AC460=0,AF460=0),"No","N/A"))</f>
        <v>N/A</v>
      </c>
      <c r="J460" s="174" t="str">
        <f t="shared" ca="1" si="15"/>
        <v>No Error</v>
      </c>
      <c r="K460" s="174"/>
      <c r="L460" s="174"/>
      <c r="AA460" s="61">
        <f ca="1">COUNTBLANK(INDIRECT("C460"))</f>
        <v>1</v>
      </c>
      <c r="AB460" s="61">
        <f ca="1">COUNTBLANK(INDIRECT("d460"))</f>
        <v>1</v>
      </c>
      <c r="AC460" s="61">
        <f ca="1">COUNTBLANK(INDIRECT("e460"))</f>
        <v>1</v>
      </c>
      <c r="AD460" s="61">
        <f ca="1">COUNTBLANK(INDIRECT("f460"))</f>
        <v>1</v>
      </c>
      <c r="AE460" s="61">
        <f ca="1">COUNTBLANK(INDIRECT("g460"))</f>
        <v>1</v>
      </c>
      <c r="AF460" s="61">
        <f ca="1">COUNTBLANK(INDIRECT("h460"))</f>
        <v>1</v>
      </c>
      <c r="AG460" s="61">
        <f ca="1">COUNTBLANK(INDIRECT("b460"))</f>
        <v>1</v>
      </c>
    </row>
    <row r="461" spans="1:33" x14ac:dyDescent="0.25">
      <c r="A461" s="2">
        <v>129</v>
      </c>
      <c r="B461" s="63"/>
      <c r="C461" s="56"/>
      <c r="D461" s="56"/>
      <c r="E461" s="56"/>
      <c r="F461" s="56"/>
      <c r="G461" s="56"/>
      <c r="H461" s="56"/>
      <c r="I461" s="117" t="str">
        <f ca="1">IF(AND(INDIRECT("H461")&gt;=INDIRECT("F461"),AA461=0,AB461=0,AC461=0,AF461=0),"Yes",IF(AND(INDIRECT("H461")&lt;INDIRECT("F461"),AA461=0,AB461=0,AC461=0,AF461=0),"No","N/A"))</f>
        <v>N/A</v>
      </c>
      <c r="J461" s="174" t="str">
        <f t="shared" ref="J461:J482" ca="1" si="16">IF(AND(AF461=0,AG461=0,AA461=0,AB461=0,AC461=0,AD461=0),"No Error",IF(AND(AF461=1,AG461=1,AA461=1,AB461=1,AC461=1,AD461=1),"No Error","Please supply all information"))</f>
        <v>No Error</v>
      </c>
      <c r="K461" s="174"/>
      <c r="L461" s="174"/>
      <c r="AA461" s="61">
        <f ca="1">COUNTBLANK(INDIRECT("C461"))</f>
        <v>1</v>
      </c>
      <c r="AB461" s="61">
        <f ca="1">COUNTBLANK(INDIRECT("d461"))</f>
        <v>1</v>
      </c>
      <c r="AC461" s="61">
        <f ca="1">COUNTBLANK(INDIRECT("e461"))</f>
        <v>1</v>
      </c>
      <c r="AD461" s="61">
        <f ca="1">COUNTBLANK(INDIRECT("f461"))</f>
        <v>1</v>
      </c>
      <c r="AE461" s="61">
        <f ca="1">COUNTBLANK(INDIRECT("g461"))</f>
        <v>1</v>
      </c>
      <c r="AF461" s="61">
        <f ca="1">COUNTBLANK(INDIRECT("h461"))</f>
        <v>1</v>
      </c>
      <c r="AG461" s="61">
        <f ca="1">COUNTBLANK(INDIRECT("b461"))</f>
        <v>1</v>
      </c>
    </row>
    <row r="462" spans="1:33" x14ac:dyDescent="0.25">
      <c r="A462" s="2">
        <v>130</v>
      </c>
      <c r="B462" s="63"/>
      <c r="C462" s="56"/>
      <c r="D462" s="56"/>
      <c r="E462" s="56"/>
      <c r="F462" s="56"/>
      <c r="G462" s="56"/>
      <c r="H462" s="56"/>
      <c r="I462" s="117" t="str">
        <f ca="1">IF(AND(INDIRECT("H462")&gt;=INDIRECT("F462"),AA462=0,AB462=0,AC462=0,AF462=0),"Yes",IF(AND(INDIRECT("H462")&lt;INDIRECT("F462"),AA462=0,AB462=0,AC462=0,AF462=0),"No","N/A"))</f>
        <v>N/A</v>
      </c>
      <c r="J462" s="174" t="str">
        <f t="shared" ca="1" si="16"/>
        <v>No Error</v>
      </c>
      <c r="K462" s="174"/>
      <c r="L462" s="174"/>
      <c r="AA462" s="61">
        <f ca="1">COUNTBLANK(INDIRECT("C462"))</f>
        <v>1</v>
      </c>
      <c r="AB462" s="61">
        <f ca="1">COUNTBLANK(INDIRECT("d462"))</f>
        <v>1</v>
      </c>
      <c r="AC462" s="61">
        <f ca="1">COUNTBLANK(INDIRECT("e462"))</f>
        <v>1</v>
      </c>
      <c r="AD462" s="61">
        <f ca="1">COUNTBLANK(INDIRECT("f462"))</f>
        <v>1</v>
      </c>
      <c r="AE462" s="61">
        <f ca="1">COUNTBLANK(INDIRECT("g462"))</f>
        <v>1</v>
      </c>
      <c r="AF462" s="61">
        <f ca="1">COUNTBLANK(INDIRECT("h462"))</f>
        <v>1</v>
      </c>
      <c r="AG462" s="61">
        <f ca="1">COUNTBLANK(INDIRECT("b462"))</f>
        <v>1</v>
      </c>
    </row>
    <row r="463" spans="1:33" x14ac:dyDescent="0.25">
      <c r="A463" s="2">
        <v>131</v>
      </c>
      <c r="B463" s="63"/>
      <c r="C463" s="56"/>
      <c r="D463" s="56"/>
      <c r="E463" s="56"/>
      <c r="F463" s="56"/>
      <c r="G463" s="56"/>
      <c r="H463" s="56"/>
      <c r="I463" s="117" t="str">
        <f ca="1">IF(AND(INDIRECT("H463")&gt;=INDIRECT("F463"),AA463=0,AB463=0,AC463=0,AF463=0),"Yes",IF(AND(INDIRECT("H463")&lt;INDIRECT("F463"),AA463=0,AB463=0,AC463=0,AF463=0),"No","N/A"))</f>
        <v>N/A</v>
      </c>
      <c r="J463" s="174" t="str">
        <f t="shared" ca="1" si="16"/>
        <v>No Error</v>
      </c>
      <c r="K463" s="174"/>
      <c r="L463" s="174"/>
      <c r="AA463" s="61">
        <f ca="1">COUNTBLANK(INDIRECT("C463"))</f>
        <v>1</v>
      </c>
      <c r="AB463" s="61">
        <f ca="1">COUNTBLANK(INDIRECT("d463"))</f>
        <v>1</v>
      </c>
      <c r="AC463" s="61">
        <f ca="1">COUNTBLANK(INDIRECT("e463"))</f>
        <v>1</v>
      </c>
      <c r="AD463" s="61">
        <f ca="1">COUNTBLANK(INDIRECT("f463"))</f>
        <v>1</v>
      </c>
      <c r="AE463" s="61">
        <f ca="1">COUNTBLANK(INDIRECT("g463"))</f>
        <v>1</v>
      </c>
      <c r="AF463" s="61">
        <f ca="1">COUNTBLANK(INDIRECT("h463"))</f>
        <v>1</v>
      </c>
      <c r="AG463" s="61">
        <f ca="1">COUNTBLANK(INDIRECT("b463"))</f>
        <v>1</v>
      </c>
    </row>
    <row r="464" spans="1:33" x14ac:dyDescent="0.25">
      <c r="A464" s="2">
        <v>132</v>
      </c>
      <c r="B464" s="63"/>
      <c r="C464" s="56"/>
      <c r="D464" s="56"/>
      <c r="E464" s="56"/>
      <c r="F464" s="56"/>
      <c r="G464" s="56"/>
      <c r="H464" s="56"/>
      <c r="I464" s="117" t="str">
        <f ca="1">IF(AND(INDIRECT("H464")&gt;=INDIRECT("F464"),AA464=0,AB464=0,AC464=0,AF464=0),"Yes",IF(AND(INDIRECT("H464")&lt;INDIRECT("F464"),AA464=0,AB464=0,AC464=0,AF464=0),"No","N/A"))</f>
        <v>N/A</v>
      </c>
      <c r="J464" s="174" t="str">
        <f t="shared" ca="1" si="16"/>
        <v>No Error</v>
      </c>
      <c r="K464" s="174"/>
      <c r="L464" s="174"/>
      <c r="AA464" s="61">
        <f ca="1">COUNTBLANK(INDIRECT("C464"))</f>
        <v>1</v>
      </c>
      <c r="AB464" s="61">
        <f ca="1">COUNTBLANK(INDIRECT("d464"))</f>
        <v>1</v>
      </c>
      <c r="AC464" s="61">
        <f ca="1">COUNTBLANK(INDIRECT("e464"))</f>
        <v>1</v>
      </c>
      <c r="AD464" s="61">
        <f ca="1">COUNTBLANK(INDIRECT("f464"))</f>
        <v>1</v>
      </c>
      <c r="AE464" s="61">
        <f ca="1">COUNTBLANK(INDIRECT("g464"))</f>
        <v>1</v>
      </c>
      <c r="AF464" s="61">
        <f ca="1">COUNTBLANK(INDIRECT("h464"))</f>
        <v>1</v>
      </c>
      <c r="AG464" s="61">
        <f ca="1">COUNTBLANK(INDIRECT("b464"))</f>
        <v>1</v>
      </c>
    </row>
    <row r="465" spans="1:33" x14ac:dyDescent="0.25">
      <c r="A465" s="2">
        <v>133</v>
      </c>
      <c r="B465" s="63"/>
      <c r="C465" s="56"/>
      <c r="D465" s="56"/>
      <c r="E465" s="56"/>
      <c r="F465" s="56"/>
      <c r="G465" s="56"/>
      <c r="H465" s="56"/>
      <c r="I465" s="117" t="str">
        <f ca="1">IF(AND(INDIRECT("H465")&gt;=INDIRECT("F465"),AA465=0,AB465=0,AC465=0,AF465=0),"Yes",IF(AND(INDIRECT("H465")&lt;INDIRECT("F465"),AA465=0,AB465=0,AC465=0,AF465=0),"No","N/A"))</f>
        <v>N/A</v>
      </c>
      <c r="J465" s="174" t="str">
        <f t="shared" ca="1" si="16"/>
        <v>No Error</v>
      </c>
      <c r="K465" s="174"/>
      <c r="L465" s="174"/>
      <c r="AA465" s="61">
        <f ca="1">COUNTBLANK(INDIRECT("C465"))</f>
        <v>1</v>
      </c>
      <c r="AB465" s="61">
        <f ca="1">COUNTBLANK(INDIRECT("d465"))</f>
        <v>1</v>
      </c>
      <c r="AC465" s="61">
        <f ca="1">COUNTBLANK(INDIRECT("e465"))</f>
        <v>1</v>
      </c>
      <c r="AD465" s="61">
        <f ca="1">COUNTBLANK(INDIRECT("f465"))</f>
        <v>1</v>
      </c>
      <c r="AE465" s="61">
        <f ca="1">COUNTBLANK(INDIRECT("g465"))</f>
        <v>1</v>
      </c>
      <c r="AF465" s="61">
        <f ca="1">COUNTBLANK(INDIRECT("h465"))</f>
        <v>1</v>
      </c>
      <c r="AG465" s="61">
        <f ca="1">COUNTBLANK(INDIRECT("b465"))</f>
        <v>1</v>
      </c>
    </row>
    <row r="466" spans="1:33" x14ac:dyDescent="0.25">
      <c r="A466" s="2">
        <v>134</v>
      </c>
      <c r="B466" s="63"/>
      <c r="C466" s="56"/>
      <c r="D466" s="56"/>
      <c r="E466" s="56"/>
      <c r="F466" s="56"/>
      <c r="G466" s="56"/>
      <c r="H466" s="56"/>
      <c r="I466" s="117" t="str">
        <f ca="1">IF(AND(INDIRECT("H466")&gt;=INDIRECT("F466"),AA466=0,AB466=0,AC466=0,AF466=0),"Yes",IF(AND(INDIRECT("H466")&lt;INDIRECT("F466"),AA466=0,AB466=0,AC466=0,AF466=0),"No","N/A"))</f>
        <v>N/A</v>
      </c>
      <c r="J466" s="174" t="str">
        <f t="shared" ca="1" si="16"/>
        <v>No Error</v>
      </c>
      <c r="K466" s="174"/>
      <c r="L466" s="174"/>
      <c r="AA466" s="61">
        <f ca="1">COUNTBLANK(INDIRECT("C466"))</f>
        <v>1</v>
      </c>
      <c r="AB466" s="61">
        <f ca="1">COUNTBLANK(INDIRECT("d466"))</f>
        <v>1</v>
      </c>
      <c r="AC466" s="61">
        <f ca="1">COUNTBLANK(INDIRECT("e466"))</f>
        <v>1</v>
      </c>
      <c r="AD466" s="61">
        <f ca="1">COUNTBLANK(INDIRECT("f466"))</f>
        <v>1</v>
      </c>
      <c r="AE466" s="61">
        <f ca="1">COUNTBLANK(INDIRECT("g466"))</f>
        <v>1</v>
      </c>
      <c r="AF466" s="61">
        <f ca="1">COUNTBLANK(INDIRECT("h466"))</f>
        <v>1</v>
      </c>
      <c r="AG466" s="61">
        <f ca="1">COUNTBLANK(INDIRECT("b466"))</f>
        <v>1</v>
      </c>
    </row>
    <row r="467" spans="1:33" x14ac:dyDescent="0.25">
      <c r="A467" s="2">
        <v>135</v>
      </c>
      <c r="B467" s="63"/>
      <c r="C467" s="56"/>
      <c r="D467" s="56"/>
      <c r="E467" s="56"/>
      <c r="F467" s="56"/>
      <c r="G467" s="56"/>
      <c r="H467" s="56"/>
      <c r="I467" s="117" t="str">
        <f ca="1">IF(AND(INDIRECT("H467")&gt;=INDIRECT("F467"),AA467=0,AB467=0,AC467=0,AF467=0),"Yes",IF(AND(INDIRECT("H467")&lt;INDIRECT("F467"),AA467=0,AB467=0,AC467=0,AF467=0),"No","N/A"))</f>
        <v>N/A</v>
      </c>
      <c r="J467" s="174" t="str">
        <f t="shared" ca="1" si="16"/>
        <v>No Error</v>
      </c>
      <c r="K467" s="174"/>
      <c r="L467" s="174"/>
      <c r="AA467" s="61">
        <f ca="1">COUNTBLANK(INDIRECT("C467"))</f>
        <v>1</v>
      </c>
      <c r="AB467" s="61">
        <f ca="1">COUNTBLANK(INDIRECT("d467"))</f>
        <v>1</v>
      </c>
      <c r="AC467" s="61">
        <f ca="1">COUNTBLANK(INDIRECT("e467"))</f>
        <v>1</v>
      </c>
      <c r="AD467" s="61">
        <f ca="1">COUNTBLANK(INDIRECT("f467"))</f>
        <v>1</v>
      </c>
      <c r="AE467" s="61">
        <f ca="1">COUNTBLANK(INDIRECT("g467"))</f>
        <v>1</v>
      </c>
      <c r="AF467" s="61">
        <f ca="1">COUNTBLANK(INDIRECT("h467"))</f>
        <v>1</v>
      </c>
      <c r="AG467" s="61">
        <f ca="1">COUNTBLANK(INDIRECT("b467"))</f>
        <v>1</v>
      </c>
    </row>
    <row r="468" spans="1:33" x14ac:dyDescent="0.25">
      <c r="A468" s="2">
        <v>136</v>
      </c>
      <c r="B468" s="63"/>
      <c r="C468" s="56"/>
      <c r="D468" s="56"/>
      <c r="E468" s="56"/>
      <c r="F468" s="56"/>
      <c r="G468" s="56"/>
      <c r="H468" s="56"/>
      <c r="I468" s="117" t="str">
        <f ca="1">IF(AND(INDIRECT("H468")&gt;=INDIRECT("F468"),AA468=0,AB468=0,AC468=0,AF468=0),"Yes",IF(AND(INDIRECT("H468")&lt;INDIRECT("F468"),AA468=0,AB468=0,AC468=0,AF468=0),"No","N/A"))</f>
        <v>N/A</v>
      </c>
      <c r="J468" s="174" t="str">
        <f t="shared" ca="1" si="16"/>
        <v>No Error</v>
      </c>
      <c r="K468" s="174"/>
      <c r="L468" s="174"/>
      <c r="AA468" s="61">
        <f ca="1">COUNTBLANK(INDIRECT("C468"))</f>
        <v>1</v>
      </c>
      <c r="AB468" s="61">
        <f ca="1">COUNTBLANK(INDIRECT("d468"))</f>
        <v>1</v>
      </c>
      <c r="AC468" s="61">
        <f ca="1">COUNTBLANK(INDIRECT("e468"))</f>
        <v>1</v>
      </c>
      <c r="AD468" s="61">
        <f ca="1">COUNTBLANK(INDIRECT("f468"))</f>
        <v>1</v>
      </c>
      <c r="AE468" s="61">
        <f ca="1">COUNTBLANK(INDIRECT("g468"))</f>
        <v>1</v>
      </c>
      <c r="AF468" s="61">
        <f ca="1">COUNTBLANK(INDIRECT("h468"))</f>
        <v>1</v>
      </c>
      <c r="AG468" s="61">
        <f ca="1">COUNTBLANK(INDIRECT("b468"))</f>
        <v>1</v>
      </c>
    </row>
    <row r="469" spans="1:33" x14ac:dyDescent="0.25">
      <c r="A469" s="2">
        <v>137</v>
      </c>
      <c r="B469" s="63"/>
      <c r="C469" s="56"/>
      <c r="D469" s="56"/>
      <c r="E469" s="56"/>
      <c r="F469" s="56"/>
      <c r="G469" s="56"/>
      <c r="H469" s="56"/>
      <c r="I469" s="117" t="str">
        <f ca="1">IF(AND(INDIRECT("H469")&gt;=INDIRECT("F469"),AA469=0,AB469=0,AC469=0,AF469=0),"Yes",IF(AND(INDIRECT("H469")&lt;INDIRECT("F469"),AA469=0,AB469=0,AC469=0,AF469=0),"No","N/A"))</f>
        <v>N/A</v>
      </c>
      <c r="J469" s="174" t="str">
        <f t="shared" ca="1" si="16"/>
        <v>No Error</v>
      </c>
      <c r="K469" s="174"/>
      <c r="L469" s="174"/>
      <c r="AA469" s="61">
        <f ca="1">COUNTBLANK(INDIRECT("C469"))</f>
        <v>1</v>
      </c>
      <c r="AB469" s="61">
        <f ca="1">COUNTBLANK(INDIRECT("d469"))</f>
        <v>1</v>
      </c>
      <c r="AC469" s="61">
        <f ca="1">COUNTBLANK(INDIRECT("e469"))</f>
        <v>1</v>
      </c>
      <c r="AD469" s="61">
        <f ca="1">COUNTBLANK(INDIRECT("f469"))</f>
        <v>1</v>
      </c>
      <c r="AE469" s="61">
        <f ca="1">COUNTBLANK(INDIRECT("g469"))</f>
        <v>1</v>
      </c>
      <c r="AF469" s="61">
        <f ca="1">COUNTBLANK(INDIRECT("h469"))</f>
        <v>1</v>
      </c>
      <c r="AG469" s="61">
        <f ca="1">COUNTBLANK(INDIRECT("b469"))</f>
        <v>1</v>
      </c>
    </row>
    <row r="470" spans="1:33" x14ac:dyDescent="0.25">
      <c r="A470" s="2">
        <v>138</v>
      </c>
      <c r="B470" s="63"/>
      <c r="C470" s="56"/>
      <c r="D470" s="56"/>
      <c r="E470" s="56"/>
      <c r="F470" s="56"/>
      <c r="G470" s="56"/>
      <c r="H470" s="56"/>
      <c r="I470" s="117" t="str">
        <f ca="1">IF(AND(INDIRECT("H470")&gt;=INDIRECT("F470"),AA470=0,AB470=0,AC470=0,AF470=0),"Yes",IF(AND(INDIRECT("H470")&lt;INDIRECT("F470"),AA470=0,AB470=0,AC470=0,AF470=0),"No","N/A"))</f>
        <v>N/A</v>
      </c>
      <c r="J470" s="174" t="str">
        <f t="shared" ca="1" si="16"/>
        <v>No Error</v>
      </c>
      <c r="K470" s="174"/>
      <c r="L470" s="174"/>
      <c r="AA470" s="61">
        <f ca="1">COUNTBLANK(INDIRECT("C470"))</f>
        <v>1</v>
      </c>
      <c r="AB470" s="61">
        <f ca="1">COUNTBLANK(INDIRECT("d470"))</f>
        <v>1</v>
      </c>
      <c r="AC470" s="61">
        <f ca="1">COUNTBLANK(INDIRECT("e470"))</f>
        <v>1</v>
      </c>
      <c r="AD470" s="61">
        <f ca="1">COUNTBLANK(INDIRECT("f470"))</f>
        <v>1</v>
      </c>
      <c r="AE470" s="61">
        <f ca="1">COUNTBLANK(INDIRECT("g470"))</f>
        <v>1</v>
      </c>
      <c r="AF470" s="61">
        <f ca="1">COUNTBLANK(INDIRECT("h470"))</f>
        <v>1</v>
      </c>
      <c r="AG470" s="61">
        <f ca="1">COUNTBLANK(INDIRECT("b470"))</f>
        <v>1</v>
      </c>
    </row>
    <row r="471" spans="1:33" x14ac:dyDescent="0.25">
      <c r="A471" s="2">
        <v>139</v>
      </c>
      <c r="B471" s="63"/>
      <c r="C471" s="56"/>
      <c r="D471" s="56"/>
      <c r="E471" s="56"/>
      <c r="F471" s="56"/>
      <c r="G471" s="56"/>
      <c r="H471" s="56"/>
      <c r="I471" s="117" t="str">
        <f ca="1">IF(AND(INDIRECT("H471")&gt;=INDIRECT("F471"),AA471=0,AB471=0,AC471=0,AF471=0),"Yes",IF(AND(INDIRECT("H471")&lt;INDIRECT("F471"),AA471=0,AB471=0,AC471=0,AF471=0),"No","N/A"))</f>
        <v>N/A</v>
      </c>
      <c r="J471" s="174" t="str">
        <f t="shared" ca="1" si="16"/>
        <v>No Error</v>
      </c>
      <c r="K471" s="174"/>
      <c r="L471" s="174"/>
      <c r="AA471" s="61">
        <f ca="1">COUNTBLANK(INDIRECT("C471"))</f>
        <v>1</v>
      </c>
      <c r="AB471" s="61">
        <f ca="1">COUNTBLANK(INDIRECT("d471"))</f>
        <v>1</v>
      </c>
      <c r="AC471" s="61">
        <f ca="1">COUNTBLANK(INDIRECT("e471"))</f>
        <v>1</v>
      </c>
      <c r="AD471" s="61">
        <f ca="1">COUNTBLANK(INDIRECT("f471"))</f>
        <v>1</v>
      </c>
      <c r="AE471" s="61">
        <f ca="1">COUNTBLANK(INDIRECT("g471"))</f>
        <v>1</v>
      </c>
      <c r="AF471" s="61">
        <f ca="1">COUNTBLANK(INDIRECT("h471"))</f>
        <v>1</v>
      </c>
      <c r="AG471" s="61">
        <f ca="1">COUNTBLANK(INDIRECT("b471"))</f>
        <v>1</v>
      </c>
    </row>
    <row r="472" spans="1:33" x14ac:dyDescent="0.25">
      <c r="A472" s="2">
        <v>140</v>
      </c>
      <c r="B472" s="63"/>
      <c r="C472" s="56"/>
      <c r="D472" s="56"/>
      <c r="E472" s="56"/>
      <c r="F472" s="56"/>
      <c r="G472" s="56"/>
      <c r="H472" s="56"/>
      <c r="I472" s="117" t="str">
        <f ca="1">IF(AND(INDIRECT("H472")&gt;=INDIRECT("F472"),AA472=0,AB472=0,AC472=0,AF472=0),"Yes",IF(AND(INDIRECT("H472")&lt;INDIRECT("F472"),AA472=0,AB472=0,AC472=0,AF472=0),"No","N/A"))</f>
        <v>N/A</v>
      </c>
      <c r="J472" s="174" t="str">
        <f t="shared" ca="1" si="16"/>
        <v>No Error</v>
      </c>
      <c r="K472" s="174"/>
      <c r="L472" s="174"/>
      <c r="AA472" s="61">
        <f ca="1">COUNTBLANK(INDIRECT("C472"))</f>
        <v>1</v>
      </c>
      <c r="AB472" s="61">
        <f ca="1">COUNTBLANK(INDIRECT("d472"))</f>
        <v>1</v>
      </c>
      <c r="AC472" s="61">
        <f ca="1">COUNTBLANK(INDIRECT("e472"))</f>
        <v>1</v>
      </c>
      <c r="AD472" s="61">
        <f ca="1">COUNTBLANK(INDIRECT("f472"))</f>
        <v>1</v>
      </c>
      <c r="AE472" s="61">
        <f ca="1">COUNTBLANK(INDIRECT("g472"))</f>
        <v>1</v>
      </c>
      <c r="AF472" s="61">
        <f ca="1">COUNTBLANK(INDIRECT("h472"))</f>
        <v>1</v>
      </c>
      <c r="AG472" s="61">
        <f ca="1">COUNTBLANK(INDIRECT("b472"))</f>
        <v>1</v>
      </c>
    </row>
    <row r="473" spans="1:33" x14ac:dyDescent="0.25">
      <c r="A473" s="2">
        <v>141</v>
      </c>
      <c r="B473" s="63"/>
      <c r="C473" s="56"/>
      <c r="D473" s="56"/>
      <c r="E473" s="56"/>
      <c r="F473" s="56"/>
      <c r="G473" s="56"/>
      <c r="H473" s="56"/>
      <c r="I473" s="117" t="str">
        <f ca="1">IF(AND(INDIRECT("H473")&gt;=INDIRECT("F473"),AA473=0,AB473=0,AC473=0,AF473=0),"Yes",IF(AND(INDIRECT("H473")&lt;INDIRECT("F473"),AA473=0,AB473=0,AC473=0,AF473=0),"No","N/A"))</f>
        <v>N/A</v>
      </c>
      <c r="J473" s="174" t="str">
        <f t="shared" ca="1" si="16"/>
        <v>No Error</v>
      </c>
      <c r="K473" s="174"/>
      <c r="L473" s="174"/>
      <c r="AA473" s="61">
        <f ca="1">COUNTBLANK(INDIRECT("C473"))</f>
        <v>1</v>
      </c>
      <c r="AB473" s="61">
        <f ca="1">COUNTBLANK(INDIRECT("d473"))</f>
        <v>1</v>
      </c>
      <c r="AC473" s="61">
        <f ca="1">COUNTBLANK(INDIRECT("e473"))</f>
        <v>1</v>
      </c>
      <c r="AD473" s="61">
        <f ca="1">COUNTBLANK(INDIRECT("f473"))</f>
        <v>1</v>
      </c>
      <c r="AE473" s="61">
        <f ca="1">COUNTBLANK(INDIRECT("g473"))</f>
        <v>1</v>
      </c>
      <c r="AF473" s="61">
        <f ca="1">COUNTBLANK(INDIRECT("h473"))</f>
        <v>1</v>
      </c>
      <c r="AG473" s="61">
        <f ca="1">COUNTBLANK(INDIRECT("b473"))</f>
        <v>1</v>
      </c>
    </row>
    <row r="474" spans="1:33" x14ac:dyDescent="0.25">
      <c r="A474" s="2">
        <v>142</v>
      </c>
      <c r="B474" s="63"/>
      <c r="C474" s="56"/>
      <c r="D474" s="56"/>
      <c r="E474" s="56"/>
      <c r="F474" s="56"/>
      <c r="G474" s="56"/>
      <c r="H474" s="56"/>
      <c r="I474" s="117" t="str">
        <f ca="1">IF(AND(INDIRECT("H474")&gt;=INDIRECT("F474"),AA474=0,AB474=0,AC474=0,AF474=0),"Yes",IF(AND(INDIRECT("H474")&lt;INDIRECT("F474"),AA474=0,AB474=0,AC474=0,AF474=0),"No","N/A"))</f>
        <v>N/A</v>
      </c>
      <c r="J474" s="174" t="str">
        <f t="shared" ca="1" si="16"/>
        <v>No Error</v>
      </c>
      <c r="K474" s="174"/>
      <c r="L474" s="174"/>
      <c r="AA474" s="61">
        <f ca="1">COUNTBLANK(INDIRECT("C474"))</f>
        <v>1</v>
      </c>
      <c r="AB474" s="61">
        <f ca="1">COUNTBLANK(INDIRECT("d474"))</f>
        <v>1</v>
      </c>
      <c r="AC474" s="61">
        <f ca="1">COUNTBLANK(INDIRECT("e474"))</f>
        <v>1</v>
      </c>
      <c r="AD474" s="61">
        <f ca="1">COUNTBLANK(INDIRECT("f474"))</f>
        <v>1</v>
      </c>
      <c r="AE474" s="61">
        <f ca="1">COUNTBLANK(INDIRECT("g474"))</f>
        <v>1</v>
      </c>
      <c r="AF474" s="61">
        <f ca="1">COUNTBLANK(INDIRECT("h474"))</f>
        <v>1</v>
      </c>
      <c r="AG474" s="61">
        <f ca="1">COUNTBLANK(INDIRECT("b474"))</f>
        <v>1</v>
      </c>
    </row>
    <row r="475" spans="1:33" x14ac:dyDescent="0.25">
      <c r="A475" s="2">
        <v>143</v>
      </c>
      <c r="B475" s="63"/>
      <c r="C475" s="56"/>
      <c r="D475" s="56"/>
      <c r="E475" s="56"/>
      <c r="F475" s="56"/>
      <c r="G475" s="56"/>
      <c r="H475" s="56"/>
      <c r="I475" s="117" t="str">
        <f ca="1">IF(AND(INDIRECT("H475")&gt;=INDIRECT("F475"),AA475=0,AB475=0,AC475=0,AF475=0),"Yes",IF(AND(INDIRECT("H475")&lt;INDIRECT("F475"),AA475=0,AB475=0,AC475=0,AF475=0),"No","N/A"))</f>
        <v>N/A</v>
      </c>
      <c r="J475" s="174" t="str">
        <f t="shared" ca="1" si="16"/>
        <v>No Error</v>
      </c>
      <c r="K475" s="174"/>
      <c r="L475" s="174"/>
      <c r="AA475" s="61">
        <f ca="1">COUNTBLANK(INDIRECT("C475"))</f>
        <v>1</v>
      </c>
      <c r="AB475" s="61">
        <f ca="1">COUNTBLANK(INDIRECT("d475"))</f>
        <v>1</v>
      </c>
      <c r="AC475" s="61">
        <f ca="1">COUNTBLANK(INDIRECT("e475"))</f>
        <v>1</v>
      </c>
      <c r="AD475" s="61">
        <f ca="1">COUNTBLANK(INDIRECT("f475"))</f>
        <v>1</v>
      </c>
      <c r="AE475" s="61">
        <f ca="1">COUNTBLANK(INDIRECT("g475"))</f>
        <v>1</v>
      </c>
      <c r="AF475" s="61">
        <f ca="1">COUNTBLANK(INDIRECT("h475"))</f>
        <v>1</v>
      </c>
      <c r="AG475" s="61">
        <f ca="1">COUNTBLANK(INDIRECT("b475"))</f>
        <v>1</v>
      </c>
    </row>
    <row r="476" spans="1:33" x14ac:dyDescent="0.25">
      <c r="A476" s="2">
        <v>144</v>
      </c>
      <c r="B476" s="63"/>
      <c r="C476" s="56"/>
      <c r="D476" s="56"/>
      <c r="E476" s="56"/>
      <c r="F476" s="56"/>
      <c r="G476" s="56"/>
      <c r="H476" s="56"/>
      <c r="I476" s="117" t="str">
        <f ca="1">IF(AND(INDIRECT("H476")&gt;=INDIRECT("F476"),AA476=0,AB476=0,AC476=0,AF476=0),"Yes",IF(AND(INDIRECT("H476")&lt;INDIRECT("F476"),AA476=0,AB476=0,AC476=0,AF476=0),"No","N/A"))</f>
        <v>N/A</v>
      </c>
      <c r="J476" s="174" t="str">
        <f t="shared" ca="1" si="16"/>
        <v>No Error</v>
      </c>
      <c r="K476" s="174"/>
      <c r="L476" s="174"/>
      <c r="AA476" s="61">
        <f ca="1">COUNTBLANK(INDIRECT("C476"))</f>
        <v>1</v>
      </c>
      <c r="AB476" s="61">
        <f ca="1">COUNTBLANK(INDIRECT("d476"))</f>
        <v>1</v>
      </c>
      <c r="AC476" s="61">
        <f ca="1">COUNTBLANK(INDIRECT("e476"))</f>
        <v>1</v>
      </c>
      <c r="AD476" s="61">
        <f ca="1">COUNTBLANK(INDIRECT("f476"))</f>
        <v>1</v>
      </c>
      <c r="AE476" s="61">
        <f ca="1">COUNTBLANK(INDIRECT("g476"))</f>
        <v>1</v>
      </c>
      <c r="AF476" s="61">
        <f ca="1">COUNTBLANK(INDIRECT("h476"))</f>
        <v>1</v>
      </c>
      <c r="AG476" s="61">
        <f ca="1">COUNTBLANK(INDIRECT("b476"))</f>
        <v>1</v>
      </c>
    </row>
    <row r="477" spans="1:33" x14ac:dyDescent="0.25">
      <c r="A477" s="2">
        <v>145</v>
      </c>
      <c r="B477" s="63"/>
      <c r="C477" s="56"/>
      <c r="D477" s="56"/>
      <c r="E477" s="56"/>
      <c r="F477" s="56"/>
      <c r="G477" s="56"/>
      <c r="H477" s="56"/>
      <c r="I477" s="117" t="str">
        <f ca="1">IF(AND(INDIRECT("H477")&gt;=INDIRECT("F477"),AA477=0,AB477=0,AC477=0,AF477=0),"Yes",IF(AND(INDIRECT("H477")&lt;INDIRECT("F477"),AA477=0,AB477=0,AC477=0,AF477=0),"No","N/A"))</f>
        <v>N/A</v>
      </c>
      <c r="J477" s="174" t="str">
        <f t="shared" ca="1" si="16"/>
        <v>No Error</v>
      </c>
      <c r="K477" s="174"/>
      <c r="L477" s="174"/>
      <c r="AA477" s="61">
        <f ca="1">COUNTBLANK(INDIRECT("C477"))</f>
        <v>1</v>
      </c>
      <c r="AB477" s="61">
        <f ca="1">COUNTBLANK(INDIRECT("d477"))</f>
        <v>1</v>
      </c>
      <c r="AC477" s="61">
        <f ca="1">COUNTBLANK(INDIRECT("e477"))</f>
        <v>1</v>
      </c>
      <c r="AD477" s="61">
        <f ca="1">COUNTBLANK(INDIRECT("f477"))</f>
        <v>1</v>
      </c>
      <c r="AE477" s="61">
        <f ca="1">COUNTBLANK(INDIRECT("g477"))</f>
        <v>1</v>
      </c>
      <c r="AF477" s="61">
        <f ca="1">COUNTBLANK(INDIRECT("h477"))</f>
        <v>1</v>
      </c>
      <c r="AG477" s="61">
        <f ca="1">COUNTBLANK(INDIRECT("b477"))</f>
        <v>1</v>
      </c>
    </row>
    <row r="478" spans="1:33" x14ac:dyDescent="0.25">
      <c r="A478" s="2">
        <v>146</v>
      </c>
      <c r="B478" s="63"/>
      <c r="C478" s="56"/>
      <c r="D478" s="56"/>
      <c r="E478" s="56"/>
      <c r="F478" s="56"/>
      <c r="G478" s="56"/>
      <c r="H478" s="56"/>
      <c r="I478" s="117" t="str">
        <f ca="1">IF(AND(INDIRECT("H478")&gt;=INDIRECT("F478"),AA478=0,AB478=0,AC478=0,AF478=0),"Yes",IF(AND(INDIRECT("H478")&lt;INDIRECT("F478"),AA478=0,AB478=0,AC478=0,AF478=0),"No","N/A"))</f>
        <v>N/A</v>
      </c>
      <c r="J478" s="174" t="str">
        <f t="shared" ca="1" si="16"/>
        <v>No Error</v>
      </c>
      <c r="K478" s="174"/>
      <c r="L478" s="174"/>
      <c r="AA478" s="61">
        <f ca="1">COUNTBLANK(INDIRECT("C478"))</f>
        <v>1</v>
      </c>
      <c r="AB478" s="61">
        <f ca="1">COUNTBLANK(INDIRECT("d478"))</f>
        <v>1</v>
      </c>
      <c r="AC478" s="61">
        <f ca="1">COUNTBLANK(INDIRECT("e478"))</f>
        <v>1</v>
      </c>
      <c r="AD478" s="61">
        <f ca="1">COUNTBLANK(INDIRECT("f478"))</f>
        <v>1</v>
      </c>
      <c r="AE478" s="61">
        <f ca="1">COUNTBLANK(INDIRECT("g478"))</f>
        <v>1</v>
      </c>
      <c r="AF478" s="61">
        <f ca="1">COUNTBLANK(INDIRECT("h478"))</f>
        <v>1</v>
      </c>
      <c r="AG478" s="61">
        <f ca="1">COUNTBLANK(INDIRECT("b478"))</f>
        <v>1</v>
      </c>
    </row>
    <row r="479" spans="1:33" x14ac:dyDescent="0.25">
      <c r="A479" s="2">
        <v>147</v>
      </c>
      <c r="B479" s="63"/>
      <c r="C479" s="56"/>
      <c r="D479" s="56"/>
      <c r="E479" s="56"/>
      <c r="F479" s="56"/>
      <c r="G479" s="56"/>
      <c r="H479" s="56"/>
      <c r="I479" s="117" t="str">
        <f ca="1">IF(AND(INDIRECT("H479")&gt;=INDIRECT("F479"),AA479=0,AB479=0,AC479=0,AF479=0),"Yes",IF(AND(INDIRECT("H479")&lt;INDIRECT("F479"),AA479=0,AB479=0,AC479=0,AF479=0),"No","N/A"))</f>
        <v>N/A</v>
      </c>
      <c r="J479" s="174" t="str">
        <f t="shared" ca="1" si="16"/>
        <v>No Error</v>
      </c>
      <c r="K479" s="174"/>
      <c r="L479" s="174"/>
      <c r="AA479" s="61">
        <f ca="1">COUNTBLANK(INDIRECT("C479"))</f>
        <v>1</v>
      </c>
      <c r="AB479" s="61">
        <f ca="1">COUNTBLANK(INDIRECT("d479"))</f>
        <v>1</v>
      </c>
      <c r="AC479" s="61">
        <f ca="1">COUNTBLANK(INDIRECT("e479"))</f>
        <v>1</v>
      </c>
      <c r="AD479" s="61">
        <f ca="1">COUNTBLANK(INDIRECT("f479"))</f>
        <v>1</v>
      </c>
      <c r="AE479" s="61">
        <f ca="1">COUNTBLANK(INDIRECT("g479"))</f>
        <v>1</v>
      </c>
      <c r="AF479" s="61">
        <f ca="1">COUNTBLANK(INDIRECT("h479"))</f>
        <v>1</v>
      </c>
      <c r="AG479" s="61">
        <f ca="1">COUNTBLANK(INDIRECT("b479"))</f>
        <v>1</v>
      </c>
    </row>
    <row r="480" spans="1:33" x14ac:dyDescent="0.25">
      <c r="A480" s="2">
        <v>148</v>
      </c>
      <c r="B480" s="63"/>
      <c r="C480" s="56"/>
      <c r="D480" s="56"/>
      <c r="E480" s="56"/>
      <c r="F480" s="56"/>
      <c r="G480" s="56"/>
      <c r="H480" s="56"/>
      <c r="I480" s="117" t="str">
        <f ca="1">IF(AND(INDIRECT("H480")&gt;=INDIRECT("F480"),AA480=0,AB480=0,AC480=0,AF480=0),"Yes",IF(AND(INDIRECT("H480")&lt;INDIRECT("F480"),AA480=0,AB480=0,AC480=0,AF480=0),"No","N/A"))</f>
        <v>N/A</v>
      </c>
      <c r="J480" s="174" t="str">
        <f t="shared" ca="1" si="16"/>
        <v>No Error</v>
      </c>
      <c r="K480" s="174"/>
      <c r="L480" s="174"/>
      <c r="AA480" s="61">
        <f ca="1">COUNTBLANK(INDIRECT("C480"))</f>
        <v>1</v>
      </c>
      <c r="AB480" s="61">
        <f ca="1">COUNTBLANK(INDIRECT("d480"))</f>
        <v>1</v>
      </c>
      <c r="AC480" s="61">
        <f ca="1">COUNTBLANK(INDIRECT("e480"))</f>
        <v>1</v>
      </c>
      <c r="AD480" s="61">
        <f ca="1">COUNTBLANK(INDIRECT("f480"))</f>
        <v>1</v>
      </c>
      <c r="AE480" s="61">
        <f ca="1">COUNTBLANK(INDIRECT("g480"))</f>
        <v>1</v>
      </c>
      <c r="AF480" s="61">
        <f ca="1">COUNTBLANK(INDIRECT("h480"))</f>
        <v>1</v>
      </c>
      <c r="AG480" s="61">
        <f ca="1">COUNTBLANK(INDIRECT("b480"))</f>
        <v>1</v>
      </c>
    </row>
    <row r="481" spans="1:33" x14ac:dyDescent="0.25">
      <c r="A481" s="2">
        <v>149</v>
      </c>
      <c r="B481" s="63"/>
      <c r="C481" s="56"/>
      <c r="D481" s="56"/>
      <c r="E481" s="56"/>
      <c r="F481" s="56"/>
      <c r="G481" s="56"/>
      <c r="H481" s="56"/>
      <c r="I481" s="117" t="str">
        <f ca="1">IF(AND(INDIRECT("H481")&gt;=INDIRECT("F481"),AA481=0,AB481=0,AC481=0,AF481=0),"Yes",IF(AND(INDIRECT("H481")&lt;INDIRECT("F481"),AA481=0,AB481=0,AC481=0,AF481=0),"No","N/A"))</f>
        <v>N/A</v>
      </c>
      <c r="J481" s="174" t="str">
        <f t="shared" ca="1" si="16"/>
        <v>No Error</v>
      </c>
      <c r="K481" s="174"/>
      <c r="L481" s="174"/>
      <c r="AA481" s="61">
        <f ca="1">COUNTBLANK(INDIRECT("C481"))</f>
        <v>1</v>
      </c>
      <c r="AB481" s="61">
        <f ca="1">COUNTBLANK(INDIRECT("d481"))</f>
        <v>1</v>
      </c>
      <c r="AC481" s="61">
        <f ca="1">COUNTBLANK(INDIRECT("e481"))</f>
        <v>1</v>
      </c>
      <c r="AD481" s="61">
        <f ca="1">COUNTBLANK(INDIRECT("f481"))</f>
        <v>1</v>
      </c>
      <c r="AE481" s="61">
        <f ca="1">COUNTBLANK(INDIRECT("g481"))</f>
        <v>1</v>
      </c>
      <c r="AF481" s="61">
        <f ca="1">COUNTBLANK(INDIRECT("h481"))</f>
        <v>1</v>
      </c>
      <c r="AG481" s="61">
        <f ca="1">COUNTBLANK(INDIRECT("b481"))</f>
        <v>1</v>
      </c>
    </row>
    <row r="482" spans="1:33" x14ac:dyDescent="0.25">
      <c r="A482" s="2">
        <v>150</v>
      </c>
      <c r="B482" s="63"/>
      <c r="C482" s="56"/>
      <c r="D482" s="56"/>
      <c r="E482" s="56"/>
      <c r="F482" s="56"/>
      <c r="G482" s="56"/>
      <c r="H482" s="56"/>
      <c r="I482" s="117" t="str">
        <f ca="1">IF(AND(INDIRECT("H482")&gt;=INDIRECT("F482"),AA482=0,AB482=0,AC482=0,AF482=0),"Yes",IF(AND(INDIRECT("H482")&lt;INDIRECT("F482"),AA482=0,AB482=0,AC482=0,AF482=0),"No","N/A"))</f>
        <v>N/A</v>
      </c>
      <c r="J482" s="174" t="str">
        <f t="shared" ca="1" si="16"/>
        <v>No Error</v>
      </c>
      <c r="K482" s="174"/>
      <c r="L482" s="174"/>
      <c r="AA482" s="61">
        <f ca="1">COUNTBLANK(INDIRECT("C482"))</f>
        <v>1</v>
      </c>
      <c r="AB482" s="61">
        <f ca="1">COUNTBLANK(INDIRECT("d482"))</f>
        <v>1</v>
      </c>
      <c r="AC482" s="61">
        <f ca="1">COUNTBLANK(INDIRECT("e482"))</f>
        <v>1</v>
      </c>
      <c r="AD482" s="61">
        <f ca="1">COUNTBLANK(INDIRECT("f482"))</f>
        <v>1</v>
      </c>
      <c r="AE482" s="61">
        <f ca="1">COUNTBLANK(INDIRECT("g482"))</f>
        <v>1</v>
      </c>
      <c r="AF482" s="61">
        <f ca="1">COUNTBLANK(INDIRECT("h482"))</f>
        <v>1</v>
      </c>
      <c r="AG482" s="61">
        <f ca="1">COUNTBLANK(INDIRECT("b482"))</f>
        <v>1</v>
      </c>
    </row>
  </sheetData>
  <sheetProtection password="CC4A" sheet="1" objects="1" scenarios="1" formatCells="0" selectLockedCells="1"/>
  <mergeCells count="473">
    <mergeCell ref="J402:L402"/>
    <mergeCell ref="J403:L403"/>
    <mergeCell ref="J404:L404"/>
    <mergeCell ref="J405:L405"/>
    <mergeCell ref="J406:L406"/>
    <mergeCell ref="J464:L464"/>
    <mergeCell ref="J465:L465"/>
    <mergeCell ref="J393:L393"/>
    <mergeCell ref="J394:L394"/>
    <mergeCell ref="J395:L395"/>
    <mergeCell ref="J396:L396"/>
    <mergeCell ref="J397:L397"/>
    <mergeCell ref="J398:L398"/>
    <mergeCell ref="J399:L399"/>
    <mergeCell ref="J400:L400"/>
    <mergeCell ref="J401:L401"/>
    <mergeCell ref="J416:L416"/>
    <mergeCell ref="J417:L417"/>
    <mergeCell ref="J418:L418"/>
    <mergeCell ref="J419:L419"/>
    <mergeCell ref="J420:L420"/>
    <mergeCell ref="J411:L411"/>
    <mergeCell ref="J412:L412"/>
    <mergeCell ref="J413:L413"/>
    <mergeCell ref="J384:L384"/>
    <mergeCell ref="J385:L385"/>
    <mergeCell ref="J386:L386"/>
    <mergeCell ref="J387:L387"/>
    <mergeCell ref="J388:L388"/>
    <mergeCell ref="J389:L389"/>
    <mergeCell ref="J390:L390"/>
    <mergeCell ref="J391:L391"/>
    <mergeCell ref="J392:L392"/>
    <mergeCell ref="J375:L375"/>
    <mergeCell ref="J376:L376"/>
    <mergeCell ref="J377:L377"/>
    <mergeCell ref="J378:L378"/>
    <mergeCell ref="J379:L379"/>
    <mergeCell ref="J380:L380"/>
    <mergeCell ref="J381:L381"/>
    <mergeCell ref="J382:L382"/>
    <mergeCell ref="J383:L383"/>
    <mergeCell ref="J366:L366"/>
    <mergeCell ref="J367:L367"/>
    <mergeCell ref="J368:L368"/>
    <mergeCell ref="J369:L369"/>
    <mergeCell ref="J370:L370"/>
    <mergeCell ref="J371:L371"/>
    <mergeCell ref="J372:L372"/>
    <mergeCell ref="J373:L373"/>
    <mergeCell ref="J374:L374"/>
    <mergeCell ref="J357:L357"/>
    <mergeCell ref="J358:L358"/>
    <mergeCell ref="J359:L359"/>
    <mergeCell ref="J360:L360"/>
    <mergeCell ref="J361:L361"/>
    <mergeCell ref="J362:L362"/>
    <mergeCell ref="J363:L363"/>
    <mergeCell ref="J364:L364"/>
    <mergeCell ref="J365:L365"/>
    <mergeCell ref="J348:L348"/>
    <mergeCell ref="J349:L349"/>
    <mergeCell ref="J350:L350"/>
    <mergeCell ref="J351:L351"/>
    <mergeCell ref="J352:L352"/>
    <mergeCell ref="J353:L353"/>
    <mergeCell ref="J354:L354"/>
    <mergeCell ref="J355:L355"/>
    <mergeCell ref="J356:L356"/>
    <mergeCell ref="J241:L241"/>
    <mergeCell ref="J242:L242"/>
    <mergeCell ref="J252:L252"/>
    <mergeCell ref="J253:L253"/>
    <mergeCell ref="J254:L254"/>
    <mergeCell ref="J255:L255"/>
    <mergeCell ref="J256:L256"/>
    <mergeCell ref="J243:L243"/>
    <mergeCell ref="J244:L244"/>
    <mergeCell ref="J245:L245"/>
    <mergeCell ref="J246:L246"/>
    <mergeCell ref="J247:L247"/>
    <mergeCell ref="J248:L248"/>
    <mergeCell ref="J249:L249"/>
    <mergeCell ref="J250:L250"/>
    <mergeCell ref="J251:L251"/>
    <mergeCell ref="J232:L232"/>
    <mergeCell ref="J233:L233"/>
    <mergeCell ref="J234:L234"/>
    <mergeCell ref="J235:L235"/>
    <mergeCell ref="J236:L236"/>
    <mergeCell ref="J237:L237"/>
    <mergeCell ref="J238:L238"/>
    <mergeCell ref="J239:L239"/>
    <mergeCell ref="J240:L240"/>
    <mergeCell ref="J223:L223"/>
    <mergeCell ref="J224:L224"/>
    <mergeCell ref="J225:L225"/>
    <mergeCell ref="J226:L226"/>
    <mergeCell ref="J227:L227"/>
    <mergeCell ref="J228:L228"/>
    <mergeCell ref="J229:L229"/>
    <mergeCell ref="J230:L230"/>
    <mergeCell ref="J231:L231"/>
    <mergeCell ref="J214:L214"/>
    <mergeCell ref="J215:L215"/>
    <mergeCell ref="J216:L216"/>
    <mergeCell ref="J217:L217"/>
    <mergeCell ref="J218:L218"/>
    <mergeCell ref="J219:L219"/>
    <mergeCell ref="J220:L220"/>
    <mergeCell ref="J221:L221"/>
    <mergeCell ref="J222:L222"/>
    <mergeCell ref="J121:L121"/>
    <mergeCell ref="J122:L122"/>
    <mergeCell ref="J123:L123"/>
    <mergeCell ref="J124:L124"/>
    <mergeCell ref="J125:L125"/>
    <mergeCell ref="J126:L126"/>
    <mergeCell ref="J127:L127"/>
    <mergeCell ref="J182:L182"/>
    <mergeCell ref="J183:L183"/>
    <mergeCell ref="J134:L134"/>
    <mergeCell ref="J135:L135"/>
    <mergeCell ref="J136:L136"/>
    <mergeCell ref="J137:L137"/>
    <mergeCell ref="J138:L138"/>
    <mergeCell ref="J129:L129"/>
    <mergeCell ref="J130:L130"/>
    <mergeCell ref="J131:L131"/>
    <mergeCell ref="J132:L132"/>
    <mergeCell ref="J133:L133"/>
    <mergeCell ref="J144:L144"/>
    <mergeCell ref="J145:L145"/>
    <mergeCell ref="J146:L146"/>
    <mergeCell ref="J147:L147"/>
    <mergeCell ref="J148:L148"/>
    <mergeCell ref="J112:L112"/>
    <mergeCell ref="J113:L113"/>
    <mergeCell ref="J114:L114"/>
    <mergeCell ref="J115:L115"/>
    <mergeCell ref="J116:L116"/>
    <mergeCell ref="J117:L117"/>
    <mergeCell ref="J118:L118"/>
    <mergeCell ref="J119:L119"/>
    <mergeCell ref="J120:L120"/>
    <mergeCell ref="J103:L103"/>
    <mergeCell ref="J104:L104"/>
    <mergeCell ref="J105:L105"/>
    <mergeCell ref="J106:L106"/>
    <mergeCell ref="J107:L107"/>
    <mergeCell ref="J108:L108"/>
    <mergeCell ref="J109:L109"/>
    <mergeCell ref="J110:L110"/>
    <mergeCell ref="J111:L111"/>
    <mergeCell ref="J94:L94"/>
    <mergeCell ref="J95:L95"/>
    <mergeCell ref="J96:L96"/>
    <mergeCell ref="J97:L97"/>
    <mergeCell ref="J98:L98"/>
    <mergeCell ref="J99:L99"/>
    <mergeCell ref="J100:L100"/>
    <mergeCell ref="J101:L101"/>
    <mergeCell ref="J102:L102"/>
    <mergeCell ref="J85:L85"/>
    <mergeCell ref="J86:L86"/>
    <mergeCell ref="J87:L87"/>
    <mergeCell ref="J88:L88"/>
    <mergeCell ref="J89:L89"/>
    <mergeCell ref="J90:L90"/>
    <mergeCell ref="J91:L91"/>
    <mergeCell ref="J92:L92"/>
    <mergeCell ref="J93:L93"/>
    <mergeCell ref="J74:L74"/>
    <mergeCell ref="J75:L75"/>
    <mergeCell ref="J78:L78"/>
    <mergeCell ref="J79:L79"/>
    <mergeCell ref="J80:L80"/>
    <mergeCell ref="J81:L81"/>
    <mergeCell ref="J82:L82"/>
    <mergeCell ref="J83:L83"/>
    <mergeCell ref="J84:L84"/>
    <mergeCell ref="J65:L65"/>
    <mergeCell ref="J66:L66"/>
    <mergeCell ref="J67:L67"/>
    <mergeCell ref="J68:L68"/>
    <mergeCell ref="J69:L69"/>
    <mergeCell ref="J70:L70"/>
    <mergeCell ref="J71:L71"/>
    <mergeCell ref="J72:L72"/>
    <mergeCell ref="J73:L73"/>
    <mergeCell ref="B180:I180"/>
    <mergeCell ref="B332:I332"/>
    <mergeCell ref="J179:L179"/>
    <mergeCell ref="J331:L331"/>
    <mergeCell ref="B1:N1"/>
    <mergeCell ref="C14:C15"/>
    <mergeCell ref="D14:D15"/>
    <mergeCell ref="E14:E15"/>
    <mergeCell ref="B3:N3"/>
    <mergeCell ref="G4:H4"/>
    <mergeCell ref="G5:H5"/>
    <mergeCell ref="B8:N8"/>
    <mergeCell ref="H9:K9"/>
    <mergeCell ref="C11:C12"/>
    <mergeCell ref="D11:D12"/>
    <mergeCell ref="E11:E12"/>
    <mergeCell ref="J29:L29"/>
    <mergeCell ref="J30:L30"/>
    <mergeCell ref="J31:L31"/>
    <mergeCell ref="J32:L32"/>
    <mergeCell ref="J33:L33"/>
    <mergeCell ref="B22:N22"/>
    <mergeCell ref="B28:I28"/>
    <mergeCell ref="C17:C18"/>
    <mergeCell ref="D17:D18"/>
    <mergeCell ref="E17:E18"/>
    <mergeCell ref="B24:I24"/>
    <mergeCell ref="J27:L27"/>
    <mergeCell ref="J39:L39"/>
    <mergeCell ref="J40:L40"/>
    <mergeCell ref="J41:L41"/>
    <mergeCell ref="J42:L42"/>
    <mergeCell ref="J43:L43"/>
    <mergeCell ref="J34:L34"/>
    <mergeCell ref="J35:L35"/>
    <mergeCell ref="J36:L36"/>
    <mergeCell ref="J37:L37"/>
    <mergeCell ref="J38:L38"/>
    <mergeCell ref="J49:L49"/>
    <mergeCell ref="J50:L50"/>
    <mergeCell ref="J76:L76"/>
    <mergeCell ref="J77:L77"/>
    <mergeCell ref="J128:L128"/>
    <mergeCell ref="J44:L44"/>
    <mergeCell ref="J45:L45"/>
    <mergeCell ref="J46:L46"/>
    <mergeCell ref="J47:L47"/>
    <mergeCell ref="J48:L48"/>
    <mergeCell ref="J51:L51"/>
    <mergeCell ref="J52:L52"/>
    <mergeCell ref="J53:L53"/>
    <mergeCell ref="J54:L54"/>
    <mergeCell ref="J55:L55"/>
    <mergeCell ref="J56:L56"/>
    <mergeCell ref="J57:L57"/>
    <mergeCell ref="J58:L58"/>
    <mergeCell ref="J59:L59"/>
    <mergeCell ref="J60:L60"/>
    <mergeCell ref="J61:L61"/>
    <mergeCell ref="J62:L62"/>
    <mergeCell ref="J63:L63"/>
    <mergeCell ref="J64:L64"/>
    <mergeCell ref="J139:L139"/>
    <mergeCell ref="J140:L140"/>
    <mergeCell ref="J141:L141"/>
    <mergeCell ref="J142:L142"/>
    <mergeCell ref="J143:L143"/>
    <mergeCell ref="J154:L154"/>
    <mergeCell ref="J155:L155"/>
    <mergeCell ref="J156:L156"/>
    <mergeCell ref="J157:L157"/>
    <mergeCell ref="J158:L158"/>
    <mergeCell ref="J149:L149"/>
    <mergeCell ref="J150:L150"/>
    <mergeCell ref="J151:L151"/>
    <mergeCell ref="J152:L152"/>
    <mergeCell ref="J153:L153"/>
    <mergeCell ref="J164:L164"/>
    <mergeCell ref="J165:L165"/>
    <mergeCell ref="J166:L166"/>
    <mergeCell ref="J167:L167"/>
    <mergeCell ref="J168:L168"/>
    <mergeCell ref="J159:L159"/>
    <mergeCell ref="J160:L160"/>
    <mergeCell ref="J161:L161"/>
    <mergeCell ref="J162:L162"/>
    <mergeCell ref="J163:L163"/>
    <mergeCell ref="J174:L174"/>
    <mergeCell ref="J175:L175"/>
    <mergeCell ref="J176:L176"/>
    <mergeCell ref="J177:L177"/>
    <mergeCell ref="J178:L178"/>
    <mergeCell ref="J169:L169"/>
    <mergeCell ref="J170:L170"/>
    <mergeCell ref="J171:L171"/>
    <mergeCell ref="J172:L172"/>
    <mergeCell ref="J173:L173"/>
    <mergeCell ref="J261:L261"/>
    <mergeCell ref="J198:L198"/>
    <mergeCell ref="J199:L199"/>
    <mergeCell ref="J200:L200"/>
    <mergeCell ref="J201:L201"/>
    <mergeCell ref="J202:L202"/>
    <mergeCell ref="J203:L203"/>
    <mergeCell ref="J204:L204"/>
    <mergeCell ref="J205:L205"/>
    <mergeCell ref="J206:L206"/>
    <mergeCell ref="J207:L207"/>
    <mergeCell ref="J208:L208"/>
    <mergeCell ref="J209:L209"/>
    <mergeCell ref="J210:L210"/>
    <mergeCell ref="J211:L211"/>
    <mergeCell ref="J212:L212"/>
    <mergeCell ref="J262:L262"/>
    <mergeCell ref="J263:L263"/>
    <mergeCell ref="J264:L264"/>
    <mergeCell ref="J265:L265"/>
    <mergeCell ref="J181:L181"/>
    <mergeCell ref="J257:L257"/>
    <mergeCell ref="J258:L258"/>
    <mergeCell ref="J259:L259"/>
    <mergeCell ref="J260:L260"/>
    <mergeCell ref="J184:L184"/>
    <mergeCell ref="J185:L185"/>
    <mergeCell ref="J186:L186"/>
    <mergeCell ref="J187:L187"/>
    <mergeCell ref="J188:L188"/>
    <mergeCell ref="J189:L189"/>
    <mergeCell ref="J190:L190"/>
    <mergeCell ref="J191:L191"/>
    <mergeCell ref="J192:L192"/>
    <mergeCell ref="J193:L193"/>
    <mergeCell ref="J194:L194"/>
    <mergeCell ref="J195:L195"/>
    <mergeCell ref="J196:L196"/>
    <mergeCell ref="J197:L197"/>
    <mergeCell ref="J213:L213"/>
    <mergeCell ref="J271:L271"/>
    <mergeCell ref="J272:L272"/>
    <mergeCell ref="J273:L273"/>
    <mergeCell ref="J274:L274"/>
    <mergeCell ref="J275:L275"/>
    <mergeCell ref="J266:L266"/>
    <mergeCell ref="J267:L267"/>
    <mergeCell ref="J268:L268"/>
    <mergeCell ref="J269:L269"/>
    <mergeCell ref="J270:L270"/>
    <mergeCell ref="J281:L281"/>
    <mergeCell ref="J282:L282"/>
    <mergeCell ref="J283:L283"/>
    <mergeCell ref="J284:L284"/>
    <mergeCell ref="J285:L285"/>
    <mergeCell ref="J276:L276"/>
    <mergeCell ref="J277:L277"/>
    <mergeCell ref="J278:L278"/>
    <mergeCell ref="J279:L279"/>
    <mergeCell ref="J280:L280"/>
    <mergeCell ref="J291:L291"/>
    <mergeCell ref="J292:L292"/>
    <mergeCell ref="J293:L293"/>
    <mergeCell ref="J294:L294"/>
    <mergeCell ref="J295:L295"/>
    <mergeCell ref="J286:L286"/>
    <mergeCell ref="J287:L287"/>
    <mergeCell ref="J288:L288"/>
    <mergeCell ref="J289:L289"/>
    <mergeCell ref="J290:L290"/>
    <mergeCell ref="J301:L301"/>
    <mergeCell ref="J302:L302"/>
    <mergeCell ref="J303:L303"/>
    <mergeCell ref="J304:L304"/>
    <mergeCell ref="J305:L305"/>
    <mergeCell ref="J296:L296"/>
    <mergeCell ref="J297:L297"/>
    <mergeCell ref="J298:L298"/>
    <mergeCell ref="J299:L299"/>
    <mergeCell ref="J300:L300"/>
    <mergeCell ref="J311:L311"/>
    <mergeCell ref="J312:L312"/>
    <mergeCell ref="J313:L313"/>
    <mergeCell ref="J314:L314"/>
    <mergeCell ref="J315:L315"/>
    <mergeCell ref="J306:L306"/>
    <mergeCell ref="J307:L307"/>
    <mergeCell ref="J308:L308"/>
    <mergeCell ref="J309:L309"/>
    <mergeCell ref="J310:L310"/>
    <mergeCell ref="J321:L321"/>
    <mergeCell ref="J322:L322"/>
    <mergeCell ref="J323:L323"/>
    <mergeCell ref="J324:L324"/>
    <mergeCell ref="J325:L325"/>
    <mergeCell ref="J316:L316"/>
    <mergeCell ref="J317:L317"/>
    <mergeCell ref="J318:L318"/>
    <mergeCell ref="J319:L319"/>
    <mergeCell ref="J320:L320"/>
    <mergeCell ref="J333:L333"/>
    <mergeCell ref="J407:L407"/>
    <mergeCell ref="J408:L408"/>
    <mergeCell ref="J409:L409"/>
    <mergeCell ref="J410:L410"/>
    <mergeCell ref="J326:L326"/>
    <mergeCell ref="J327:L327"/>
    <mergeCell ref="J328:L328"/>
    <mergeCell ref="J329:L329"/>
    <mergeCell ref="J330:L330"/>
    <mergeCell ref="J334:L334"/>
    <mergeCell ref="J335:L335"/>
    <mergeCell ref="J336:L336"/>
    <mergeCell ref="J337:L337"/>
    <mergeCell ref="J338:L338"/>
    <mergeCell ref="J339:L339"/>
    <mergeCell ref="J340:L340"/>
    <mergeCell ref="J341:L341"/>
    <mergeCell ref="J342:L342"/>
    <mergeCell ref="J343:L343"/>
    <mergeCell ref="J344:L344"/>
    <mergeCell ref="J345:L345"/>
    <mergeCell ref="J346:L346"/>
    <mergeCell ref="J347:L347"/>
    <mergeCell ref="J414:L414"/>
    <mergeCell ref="J415:L415"/>
    <mergeCell ref="J426:L426"/>
    <mergeCell ref="J427:L427"/>
    <mergeCell ref="J428:L428"/>
    <mergeCell ref="J429:L429"/>
    <mergeCell ref="J430:L430"/>
    <mergeCell ref="J421:L421"/>
    <mergeCell ref="J422:L422"/>
    <mergeCell ref="J423:L423"/>
    <mergeCell ref="J424:L424"/>
    <mergeCell ref="J425:L425"/>
    <mergeCell ref="J436:L436"/>
    <mergeCell ref="J437:L437"/>
    <mergeCell ref="J438:L438"/>
    <mergeCell ref="J439:L439"/>
    <mergeCell ref="J440:L440"/>
    <mergeCell ref="J431:L431"/>
    <mergeCell ref="J432:L432"/>
    <mergeCell ref="J433:L433"/>
    <mergeCell ref="J434:L434"/>
    <mergeCell ref="J435:L435"/>
    <mergeCell ref="J446:L446"/>
    <mergeCell ref="J447:L447"/>
    <mergeCell ref="J448:L448"/>
    <mergeCell ref="J449:L449"/>
    <mergeCell ref="J450:L450"/>
    <mergeCell ref="J441:L441"/>
    <mergeCell ref="J442:L442"/>
    <mergeCell ref="J443:L443"/>
    <mergeCell ref="J444:L444"/>
    <mergeCell ref="J445:L445"/>
    <mergeCell ref="J456:L456"/>
    <mergeCell ref="J457:L457"/>
    <mergeCell ref="J458:L458"/>
    <mergeCell ref="J459:L459"/>
    <mergeCell ref="J460:L460"/>
    <mergeCell ref="J451:L451"/>
    <mergeCell ref="J452:L452"/>
    <mergeCell ref="J453:L453"/>
    <mergeCell ref="J454:L454"/>
    <mergeCell ref="J455:L455"/>
    <mergeCell ref="J468:L468"/>
    <mergeCell ref="J469:L469"/>
    <mergeCell ref="J470:L470"/>
    <mergeCell ref="J471:L471"/>
    <mergeCell ref="J472:L472"/>
    <mergeCell ref="J461:L461"/>
    <mergeCell ref="J462:L462"/>
    <mergeCell ref="J463:L463"/>
    <mergeCell ref="J466:L466"/>
    <mergeCell ref="J467:L467"/>
    <mergeCell ref="J478:L478"/>
    <mergeCell ref="J479:L479"/>
    <mergeCell ref="J480:L480"/>
    <mergeCell ref="J481:L481"/>
    <mergeCell ref="J482:L482"/>
    <mergeCell ref="J473:L473"/>
    <mergeCell ref="J474:L474"/>
    <mergeCell ref="J475:L475"/>
    <mergeCell ref="J476:L476"/>
    <mergeCell ref="J477:L477"/>
  </mergeCells>
  <conditionalFormatting sqref="J181:L330 J333:L482">
    <cfRule type="cellIs" dxfId="5" priority="5" operator="equal">
      <formula>"No Error"</formula>
    </cfRule>
    <cfRule type="cellIs" dxfId="4" priority="6" operator="equal">
      <formula>"Please supply all information"</formula>
    </cfRule>
  </conditionalFormatting>
  <conditionalFormatting sqref="J29:L178">
    <cfRule type="cellIs" dxfId="3" priority="3" operator="equal">
      <formula>"No Error"</formula>
    </cfRule>
    <cfRule type="cellIs" dxfId="2" priority="4" operator="equal">
      <formula>"Please supply all information"</formula>
    </cfRule>
  </conditionalFormatting>
  <conditionalFormatting sqref="I29:I178 I181:I330 I333:I482">
    <cfRule type="cellIs" dxfId="1" priority="1" operator="equal">
      <formula>"Yes"</formula>
    </cfRule>
    <cfRule type="cellIs" dxfId="0" priority="2" operator="equal">
      <formula>"No"</formula>
    </cfRule>
  </conditionalFormatting>
  <dataValidations count="6">
    <dataValidation type="list" allowBlank="1" showInputMessage="1" showErrorMessage="1" sqref="C333:C482">
      <formula1>"---,High"</formula1>
    </dataValidation>
    <dataValidation type="list" allowBlank="1" showInputMessage="1" showErrorMessage="1" sqref="C181:C330">
      <formula1>"---,Mid"</formula1>
    </dataValidation>
    <dataValidation type="list" allowBlank="1" showInputMessage="1" showErrorMessage="1" sqref="C29:C178">
      <formula1>"---,Low/Simple"</formula1>
    </dataValidation>
    <dataValidation type="list" allowBlank="1" showInputMessage="1" showErrorMessage="1" sqref="G25">
      <formula1>"---,100%,95%,90%,85%,80%,75%,70%,65%,60%,55%,50%,45%,40%,35%,30%,25%,20%,15%,10%,5%"</formula1>
    </dataValidation>
    <dataValidation type="list" allowBlank="1" showInputMessage="1" showErrorMessage="1" sqref="F12 F15 F18">
      <formula1>$Q$4:$FK$4</formula1>
    </dataValidation>
    <dataValidation type="list" allowBlank="1" showInputMessage="1" showErrorMessage="1" sqref="B12 B18 B15">
      <formula1>"---,5%,10%,15%,20%,25%,30%,35%"</formula1>
    </dataValidation>
  </dataValidations>
  <pageMargins left="0.7" right="0.7" top="0.75" bottom="0.75" header="0.3" footer="0.3"/>
  <pageSetup scale="50" fitToHeight="8" orientation="landscape"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526"/>
  <sheetViews>
    <sheetView view="pageLayout" zoomScaleNormal="100" workbookViewId="0">
      <selection activeCell="E278" sqref="E278"/>
    </sheetView>
  </sheetViews>
  <sheetFormatPr defaultRowHeight="15" x14ac:dyDescent="0.25"/>
  <cols>
    <col min="1" max="1" width="5.5703125" customWidth="1"/>
    <col min="2" max="2" width="18.85546875" customWidth="1"/>
    <col min="3" max="6" width="17.28515625" customWidth="1"/>
    <col min="7" max="7" width="9.140625" hidden="1" customWidth="1"/>
    <col min="8" max="8" width="6.5703125" customWidth="1"/>
  </cols>
  <sheetData>
    <row r="1" spans="1:10" s="71" customFormat="1" ht="27.75" customHeight="1" thickBot="1" x14ac:dyDescent="0.55000000000000004">
      <c r="A1" s="198" t="s">
        <v>193</v>
      </c>
      <c r="B1" s="199"/>
      <c r="C1" s="199"/>
      <c r="D1" s="199"/>
      <c r="E1" s="199"/>
      <c r="F1" s="200"/>
      <c r="G1" s="70"/>
      <c r="H1" s="70"/>
      <c r="I1" s="70"/>
      <c r="J1" s="70"/>
    </row>
    <row r="2" spans="1:10" s="72" customFormat="1" ht="27.75" customHeight="1" thickBot="1" x14ac:dyDescent="0.55000000000000004">
      <c r="A2" s="198" t="s">
        <v>15</v>
      </c>
      <c r="B2" s="199"/>
      <c r="C2" s="199"/>
      <c r="D2" s="199"/>
      <c r="E2" s="199"/>
      <c r="F2" s="200"/>
    </row>
    <row r="3" spans="1:10" s="64" customFormat="1" ht="15.75" thickBot="1" x14ac:dyDescent="0.3">
      <c r="B3" s="66"/>
      <c r="C3" s="66"/>
      <c r="D3" s="66"/>
      <c r="E3" s="66"/>
      <c r="F3" s="66"/>
    </row>
    <row r="4" spans="1:10" ht="15.75" thickBot="1" x14ac:dyDescent="0.3">
      <c r="B4" s="67" t="s">
        <v>1</v>
      </c>
      <c r="C4" s="201">
        <f>'SGO calculation(Tiered or Simp)'!G3</f>
        <v>0</v>
      </c>
      <c r="D4" s="202"/>
    </row>
    <row r="5" spans="1:10" ht="15.75" thickBot="1" x14ac:dyDescent="0.3">
      <c r="B5" s="67" t="s">
        <v>194</v>
      </c>
      <c r="C5" s="201">
        <f>'SGO calculation(Tiered or Simp)'!G4</f>
        <v>0</v>
      </c>
      <c r="D5" s="202"/>
    </row>
    <row r="6" spans="1:10" ht="15.75" thickBot="1" x14ac:dyDescent="0.3">
      <c r="B6" s="112"/>
    </row>
    <row r="7" spans="1:10" ht="15.75" thickBot="1" x14ac:dyDescent="0.3">
      <c r="A7" s="190" t="s">
        <v>200</v>
      </c>
      <c r="B7" s="191"/>
      <c r="C7" s="191"/>
      <c r="D7" s="191"/>
      <c r="E7" s="191"/>
      <c r="F7" s="192"/>
    </row>
    <row r="8" spans="1:10" ht="45" x14ac:dyDescent="0.25">
      <c r="A8" s="65"/>
      <c r="B8" s="65" t="s">
        <v>195</v>
      </c>
      <c r="C8" s="65" t="s">
        <v>196</v>
      </c>
      <c r="D8" s="65" t="s">
        <v>345</v>
      </c>
      <c r="E8" s="65" t="s">
        <v>197</v>
      </c>
      <c r="G8" s="65"/>
      <c r="H8" s="65"/>
      <c r="I8" s="65"/>
    </row>
    <row r="9" spans="1:10" x14ac:dyDescent="0.25">
      <c r="B9" s="112" t="s">
        <v>190</v>
      </c>
      <c r="C9" s="113" t="str">
        <f>IF('SGO #1(Tiered or Simple)'!D11=0,"",'SGO #1(Tiered or Simple)'!D11)</f>
        <v/>
      </c>
      <c r="D9" s="111" t="str">
        <f>IF('SGO #1(Tiered or Simple)'!D11=0,"",IF('SGO #1(Tiered or Simple)'!T37=0,'SGO #1(Tiered or Simple)'!S37,'SGO #1(Tiered or Simple)'!U37))</f>
        <v/>
      </c>
      <c r="E9" s="113" t="str">
        <f>IF('SGO #1(Tiered or Simple)'!D11=0,"",'SGO #1(Tiered or Simple)'!I12)</f>
        <v/>
      </c>
    </row>
    <row r="10" spans="1:10" x14ac:dyDescent="0.25">
      <c r="B10" s="112" t="s">
        <v>192</v>
      </c>
      <c r="C10" s="113" t="str">
        <f>IF('SGO #1(Tiered or Simple)'!D14=0,"",'SGO #1(Tiered or Simple)'!D14)</f>
        <v/>
      </c>
      <c r="D10" s="120" t="str">
        <f>IF('SGO #1(Tiered or Simple)'!D14=0,"",IF('SGO #1(Tiered or Simple)'!T38=0,'SGO #1(Tiered or Simple)'!S38,'SGO #1(Tiered or Simple)'!U38))</f>
        <v/>
      </c>
      <c r="E10" s="113" t="str">
        <f>IF('SGO #1(Tiered or Simple)'!D14=0,"",'SGO #1(Tiered or Simple)'!I15)</f>
        <v/>
      </c>
    </row>
    <row r="11" spans="1:10" x14ac:dyDescent="0.25">
      <c r="B11" s="112" t="s">
        <v>28</v>
      </c>
      <c r="C11" s="113" t="str">
        <f>IF('SGO #1(Tiered or Simple)'!D17=0,"",'SGO #1(Tiered or Simple)'!D17)</f>
        <v/>
      </c>
      <c r="D11" s="120" t="str">
        <f>IF('SGO #1(Tiered or Simple)'!D17=0,"",IF('SGO #1(Tiered or Simple)'!T39=0,'SGO #1(Tiered or Simple)'!S39,'SGO #1(Tiered or Simple)'!U39))</f>
        <v/>
      </c>
      <c r="E11" s="113" t="str">
        <f>IF('SGO #1(Tiered or Simple)'!D17=0,"",'SGO #1(Tiered or Simple)'!I18)</f>
        <v/>
      </c>
    </row>
    <row r="12" spans="1:10" x14ac:dyDescent="0.25">
      <c r="C12" s="112"/>
      <c r="D12" s="112"/>
      <c r="E12" s="112"/>
    </row>
    <row r="13" spans="1:10" x14ac:dyDescent="0.25">
      <c r="B13" s="69" t="s">
        <v>202</v>
      </c>
      <c r="C13" s="112">
        <f>SUM(C9:C11)</f>
        <v>0</v>
      </c>
      <c r="D13" s="112"/>
      <c r="E13" s="112"/>
    </row>
    <row r="14" spans="1:10" ht="15.75" thickBot="1" x14ac:dyDescent="0.3"/>
    <row r="15" spans="1:10" ht="15.75" thickBot="1" x14ac:dyDescent="0.3">
      <c r="A15" s="190" t="s">
        <v>198</v>
      </c>
      <c r="B15" s="191"/>
      <c r="C15" s="191"/>
      <c r="D15" s="191"/>
      <c r="E15" s="191"/>
      <c r="F15" s="192"/>
    </row>
    <row r="16" spans="1:10" ht="31.5" customHeight="1" x14ac:dyDescent="0.25">
      <c r="B16" s="65" t="s">
        <v>195</v>
      </c>
      <c r="C16" s="197" t="s">
        <v>360</v>
      </c>
      <c r="D16" s="197"/>
      <c r="E16" s="197"/>
      <c r="F16" s="197"/>
    </row>
    <row r="17" spans="1:6" ht="15.75" thickBot="1" x14ac:dyDescent="0.3">
      <c r="C17" s="112" t="s">
        <v>6</v>
      </c>
      <c r="D17" s="112" t="s">
        <v>7</v>
      </c>
      <c r="E17" s="112" t="s">
        <v>8</v>
      </c>
      <c r="F17" s="112" t="s">
        <v>199</v>
      </c>
    </row>
    <row r="18" spans="1:6" ht="15.75" thickBot="1" x14ac:dyDescent="0.3">
      <c r="B18" s="112" t="s">
        <v>190</v>
      </c>
      <c r="C18" s="68" t="str">
        <f>IF('SGO #1(Tiered or Simple)'!D11=0,"",'SGO #1(Tiered or Simple)'!H11)</f>
        <v/>
      </c>
      <c r="D18" s="68" t="str">
        <f>IF('SGO #1(Tiered or Simple)'!D11=0,"",'SGO #1(Tiered or Simple)'!I11)</f>
        <v/>
      </c>
      <c r="E18" s="68" t="str">
        <f>IF('SGO #1(Tiered or Simple)'!D11=0,"",'SGO #1(Tiered or Simple)'!J11)</f>
        <v/>
      </c>
      <c r="F18" s="68" t="str">
        <f>IF('SGO #1(Tiered or Simple)'!D11=0,"",'SGO #1(Tiered or Simple)'!K11)</f>
        <v/>
      </c>
    </row>
    <row r="19" spans="1:6" ht="15.75" thickBot="1" x14ac:dyDescent="0.3">
      <c r="B19" s="112"/>
      <c r="C19" s="68" t="str">
        <f>IF('SGO #1(Tiered or Simple)'!D11=0,"",'SGO #1(Tiered or Simple)'!H12)</f>
        <v/>
      </c>
      <c r="D19" s="68" t="str">
        <f>IF('SGO #1(Tiered or Simple)'!D11=0,"",'SGO #1(Tiered or Simple)'!I12)</f>
        <v/>
      </c>
      <c r="E19" s="68" t="str">
        <f>IF('SGO #1(Tiered or Simple)'!D11=0,"",'SGO #1(Tiered or Simple)'!J12)</f>
        <v/>
      </c>
      <c r="F19" s="68" t="str">
        <f>IF('SGO #1(Tiered or Simple)'!D11=0,"",'SGO #1(Tiered or Simple)'!K12)</f>
        <v/>
      </c>
    </row>
    <row r="20" spans="1:6" ht="15.75" thickBot="1" x14ac:dyDescent="0.3">
      <c r="B20" s="112" t="s">
        <v>192</v>
      </c>
      <c r="C20" s="68" t="str">
        <f>IF('SGO #1(Tiered or Simple)'!D14=0,"",'SGO #1(Tiered or Simple)'!H14)</f>
        <v/>
      </c>
      <c r="D20" s="68" t="str">
        <f>IF('SGO #1(Tiered or Simple)'!D14=0,"",'SGO #1(Tiered or Simple)'!I14)</f>
        <v/>
      </c>
      <c r="E20" s="68" t="str">
        <f>IF('SGO #1(Tiered or Simple)'!D14=0,"",'SGO #1(Tiered or Simple)'!J14)</f>
        <v/>
      </c>
      <c r="F20" s="68" t="str">
        <f>IF('SGO #1(Tiered or Simple)'!D14=0,"",'SGO #1(Tiered or Simple)'!K14)</f>
        <v/>
      </c>
    </row>
    <row r="21" spans="1:6" ht="15.75" thickBot="1" x14ac:dyDescent="0.3">
      <c r="B21" s="112"/>
      <c r="C21" s="68" t="str">
        <f>IF('SGO #1(Tiered or Simple)'!D14=0,"",'SGO #1(Tiered or Simple)'!H15)</f>
        <v/>
      </c>
      <c r="D21" s="68" t="str">
        <f>IF('SGO #1(Tiered or Simple)'!D14=0,"",'SGO #1(Tiered or Simple)'!I15)</f>
        <v/>
      </c>
      <c r="E21" s="68" t="str">
        <f>IF('SGO #1(Tiered or Simple)'!D14=0,"",'SGO #1(Tiered or Simple)'!J15)</f>
        <v/>
      </c>
      <c r="F21" s="68" t="str">
        <f>IF('SGO #1(Tiered or Simple)'!D14=0,"",'SGO #1(Tiered or Simple)'!K15)</f>
        <v/>
      </c>
    </row>
    <row r="22" spans="1:6" ht="15.75" thickBot="1" x14ac:dyDescent="0.3">
      <c r="B22" s="112" t="s">
        <v>28</v>
      </c>
      <c r="C22" s="68" t="str">
        <f>IF('SGO #1(Tiered or Simple)'!D17=0,"",'SGO #1(Tiered or Simple)'!H17)</f>
        <v/>
      </c>
      <c r="D22" s="68" t="str">
        <f>IF('SGO #1(Tiered or Simple)'!D17=0,"",'SGO #1(Tiered or Simple)'!I17)</f>
        <v/>
      </c>
      <c r="E22" s="68" t="str">
        <f>IF('SGO #1(Tiered or Simple)'!D17=0,"",'SGO #1(Tiered or Simple)'!J17)</f>
        <v/>
      </c>
      <c r="F22" s="68" t="str">
        <f>IF('SGO #1(Tiered or Simple)'!D17=0,"",'SGO #1(Tiered or Simple)'!K17)</f>
        <v/>
      </c>
    </row>
    <row r="23" spans="1:6" x14ac:dyDescent="0.25">
      <c r="C23" s="68" t="str">
        <f>IF('SGO #1(Tiered or Simple)'!D17=0,"",'SGO #1(Tiered or Simple)'!H18)</f>
        <v/>
      </c>
      <c r="D23" s="68" t="str">
        <f>IF('SGO #1(Tiered or Simple)'!D17=0,"",'SGO #1(Tiered or Simple)'!I18)</f>
        <v/>
      </c>
      <c r="E23" s="68" t="str">
        <f>IF('SGO #1(Tiered or Simple)'!D17=0,"",'SGO #1(Tiered or Simple)'!J18)</f>
        <v/>
      </c>
      <c r="F23" s="68" t="str">
        <f>IF('SGO #1(Tiered or Simple)'!D17=0,"",'SGO #1(Tiered or Simple)'!K18)</f>
        <v/>
      </c>
    </row>
    <row r="24" spans="1:6" ht="15.75" thickBot="1" x14ac:dyDescent="0.3"/>
    <row r="25" spans="1:6" ht="15.75" thickBot="1" x14ac:dyDescent="0.3">
      <c r="A25" s="190" t="s">
        <v>201</v>
      </c>
      <c r="B25" s="191"/>
      <c r="C25" s="191"/>
      <c r="D25" s="191"/>
      <c r="E25" s="191"/>
      <c r="F25" s="192"/>
    </row>
    <row r="26" spans="1:6" ht="15.75" thickBot="1" x14ac:dyDescent="0.3">
      <c r="A26" s="193" t="s">
        <v>190</v>
      </c>
      <c r="B26" s="194"/>
      <c r="C26" s="194"/>
      <c r="D26" s="194"/>
      <c r="E26" s="194"/>
      <c r="F26" s="195"/>
    </row>
    <row r="27" spans="1:6" x14ac:dyDescent="0.25">
      <c r="A27">
        <v>1</v>
      </c>
      <c r="B27" s="189" t="str">
        <f ca="1">IF(INDIRECT("'SGO #1(Tiered or Simple)'!B29")=0, " ",INDIRECT("'SGO #1(Tiered or Simple)'!B29"))</f>
        <v xml:space="preserve"> </v>
      </c>
      <c r="C27" s="189"/>
      <c r="D27">
        <v>16</v>
      </c>
      <c r="E27" s="187" t="str">
        <f ca="1">IF(INDIRECT("'SGO #1(Tiered or Simple)'!B44")=0, " ",INDIRECT("'SGO #1(Tiered or Simple)'!B44"))</f>
        <v xml:space="preserve"> </v>
      </c>
      <c r="F27" s="187"/>
    </row>
    <row r="28" spans="1:6" x14ac:dyDescent="0.25">
      <c r="A28">
        <v>2</v>
      </c>
      <c r="B28" s="189" t="str">
        <f ca="1">IF(INDIRECT("'SGO #1(Tiered or Simple)'!B30")=0, " ",INDIRECT("'SGO #1(Tiered or Simple)'!B30"))</f>
        <v xml:space="preserve"> </v>
      </c>
      <c r="C28" s="189"/>
      <c r="D28">
        <v>17</v>
      </c>
      <c r="E28" s="187" t="str">
        <f ca="1">IF(INDIRECT("'SGO #1(Tiered or Simple)'!B45")=0, " ",INDIRECT("'SGO #1(Tiered or Simple)'!B45"))</f>
        <v xml:space="preserve"> </v>
      </c>
      <c r="F28" s="187"/>
    </row>
    <row r="29" spans="1:6" x14ac:dyDescent="0.25">
      <c r="A29">
        <v>3</v>
      </c>
      <c r="B29" s="189" t="str">
        <f ca="1">IF(INDIRECT("'SGO #1(Tiered or Simple)'!B31")=0, " ",INDIRECT("'SGO #1(Tiered or Simple)'!B31"))</f>
        <v xml:space="preserve"> </v>
      </c>
      <c r="C29" s="189"/>
      <c r="D29">
        <v>18</v>
      </c>
      <c r="E29" s="187" t="str">
        <f ca="1">IF(INDIRECT("'SGO #1(Tiered or Simple)'!B46")=0, " ",INDIRECT("'SGO #1(Tiered or Simple)'!B46"))</f>
        <v xml:space="preserve"> </v>
      </c>
      <c r="F29" s="187"/>
    </row>
    <row r="30" spans="1:6" x14ac:dyDescent="0.25">
      <c r="A30">
        <v>4</v>
      </c>
      <c r="B30" s="189" t="str">
        <f ca="1">IF(INDIRECT("'SGO #1(Tiered or Simple)'!B32")=0, " ",INDIRECT("'SGO #1(Tiered or Simple)'!B32"))</f>
        <v xml:space="preserve"> </v>
      </c>
      <c r="C30" s="189"/>
      <c r="D30">
        <v>19</v>
      </c>
      <c r="E30" s="187" t="str">
        <f ca="1">IF(INDIRECT("'SGO #1(Tiered or Simple)'!B47")=0, " ",INDIRECT("'SGO #1(Tiered or Simple)'!B47"))</f>
        <v xml:space="preserve"> </v>
      </c>
      <c r="F30" s="187"/>
    </row>
    <row r="31" spans="1:6" x14ac:dyDescent="0.25">
      <c r="A31">
        <v>5</v>
      </c>
      <c r="B31" s="189" t="str">
        <f ca="1">IF(INDIRECT("'SGO #1(Tiered or Simple)'!B33")=0, " ",INDIRECT("'SGO #1(Tiered or Simple)'!B33"))</f>
        <v xml:space="preserve"> </v>
      </c>
      <c r="C31" s="189"/>
      <c r="D31">
        <v>20</v>
      </c>
      <c r="E31" s="187" t="str">
        <f ca="1">IF(INDIRECT("'SGO #1(Tiered or Simple)'!B48")=0, " ",INDIRECT("'SGO #1(Tiered or Simple)'!B48"))</f>
        <v xml:space="preserve"> </v>
      </c>
      <c r="F31" s="187"/>
    </row>
    <row r="32" spans="1:6" x14ac:dyDescent="0.25">
      <c r="A32">
        <v>6</v>
      </c>
      <c r="B32" s="189" t="str">
        <f ca="1">IF(INDIRECT("'SGO #1(Tiered or Simple)'!B34")=0, " ",INDIRECT("'SGO #1(Tiered or Simple)'!B34"))</f>
        <v xml:space="preserve"> </v>
      </c>
      <c r="C32" s="189"/>
      <c r="D32">
        <v>21</v>
      </c>
      <c r="E32" s="187" t="str">
        <f ca="1">IF(INDIRECT("'SGO #1(Tiered or Simple)'!B49")=0, " ",INDIRECT("'SGO #1(Tiered or Simple)'!B49"))</f>
        <v xml:space="preserve"> </v>
      </c>
      <c r="F32" s="187"/>
    </row>
    <row r="33" spans="1:6" x14ac:dyDescent="0.25">
      <c r="A33">
        <v>7</v>
      </c>
      <c r="B33" s="189" t="str">
        <f ca="1">IF(INDIRECT("'SGO #1(Tiered or Simple)'!B35")=0, " ",INDIRECT("'SGO #1(Tiered or Simple)'!B35"))</f>
        <v xml:space="preserve"> </v>
      </c>
      <c r="C33" s="189"/>
      <c r="D33">
        <v>22</v>
      </c>
      <c r="E33" s="187" t="str">
        <f ca="1">IF(INDIRECT("'SGO #1(Tiered or Simple)'!B50")=0, " ",INDIRECT("'SGO #1(Tiered or Simple)'!B50"))</f>
        <v xml:space="preserve"> </v>
      </c>
      <c r="F33" s="187"/>
    </row>
    <row r="34" spans="1:6" x14ac:dyDescent="0.25">
      <c r="A34">
        <v>8</v>
      </c>
      <c r="B34" s="189" t="str">
        <f ca="1">IF(INDIRECT("'SGO #1(Tiered or Simple)'!B36")=0, " ",INDIRECT("'SGO #1(Tiered or Simple)'!B36"))</f>
        <v xml:space="preserve"> </v>
      </c>
      <c r="C34" s="189"/>
      <c r="D34">
        <v>23</v>
      </c>
      <c r="E34" s="187" t="str">
        <f ca="1">IF(INDIRECT("'SGO #1(Tiered or Simple)'!B51")=0, " ",INDIRECT("'SGO #1(Tiered or Simple)'!B51"))</f>
        <v xml:space="preserve"> </v>
      </c>
      <c r="F34" s="187"/>
    </row>
    <row r="35" spans="1:6" x14ac:dyDescent="0.25">
      <c r="A35">
        <v>9</v>
      </c>
      <c r="B35" s="189" t="str">
        <f ca="1">IF(INDIRECT("'SGO #1(Tiered or Simple)'!B37")=0, " ",INDIRECT("'SGO #1(Tiered or Simple)'!B37"))</f>
        <v xml:space="preserve"> </v>
      </c>
      <c r="C35" s="189"/>
      <c r="D35">
        <v>24</v>
      </c>
      <c r="E35" s="187" t="str">
        <f ca="1">IF(INDIRECT("'SGO #1(Tiered or Simple)'!B52")=0, " ",INDIRECT("'SGO #1(Tiered or Simple)'!B52"))</f>
        <v xml:space="preserve"> </v>
      </c>
      <c r="F35" s="187"/>
    </row>
    <row r="36" spans="1:6" x14ac:dyDescent="0.25">
      <c r="A36">
        <v>10</v>
      </c>
      <c r="B36" s="189" t="str">
        <f ca="1">IF(INDIRECT("'SGO #1(Tiered or Simple)'!B38")=0, " ",INDIRECT("'SGO #1(Tiered or Simple)'!B38"))</f>
        <v xml:space="preserve"> </v>
      </c>
      <c r="C36" s="189"/>
      <c r="D36">
        <v>25</v>
      </c>
      <c r="E36" s="187" t="str">
        <f ca="1">IF(INDIRECT("'SGO #1(Tiered or Simple)'!B53")=0, " ",INDIRECT("'SGO #1(Tiered or Simple)'!B53"))</f>
        <v xml:space="preserve"> </v>
      </c>
      <c r="F36" s="187"/>
    </row>
    <row r="37" spans="1:6" x14ac:dyDescent="0.25">
      <c r="A37">
        <v>11</v>
      </c>
      <c r="B37" s="189" t="str">
        <f ca="1">IF(INDIRECT("'SGO #1(Tiered or Simple)'!B39")=0, " ",INDIRECT("'SGO #1(Tiered or Simple)'!B39"))</f>
        <v xml:space="preserve"> </v>
      </c>
      <c r="C37" s="189"/>
      <c r="D37">
        <v>26</v>
      </c>
      <c r="E37" s="187" t="str">
        <f ca="1">IF(INDIRECT("'SGO #1(Tiered or Simple)'!B54")=0, " ",INDIRECT("'SGO #1(Tiered or Simple)'!B54"))</f>
        <v xml:space="preserve"> </v>
      </c>
      <c r="F37" s="187"/>
    </row>
    <row r="38" spans="1:6" x14ac:dyDescent="0.25">
      <c r="A38">
        <v>12</v>
      </c>
      <c r="B38" s="189" t="str">
        <f ca="1">IF(INDIRECT("'SGO #1(Tiered or Simple)'!B40")=0, " ",INDIRECT("'SGO #1(Tiered or Simple)'!B40"))</f>
        <v xml:space="preserve"> </v>
      </c>
      <c r="C38" s="189"/>
      <c r="D38">
        <v>27</v>
      </c>
      <c r="E38" s="187" t="str">
        <f ca="1">IF(INDIRECT("'SGO #1(Tiered or Simple)'!B55")=0, " ",INDIRECT("'SGO #1(Tiered or Simple)'!B55"))</f>
        <v xml:space="preserve"> </v>
      </c>
      <c r="F38" s="187"/>
    </row>
    <row r="39" spans="1:6" x14ac:dyDescent="0.25">
      <c r="A39">
        <v>13</v>
      </c>
      <c r="B39" s="189" t="str">
        <f ca="1">IF(INDIRECT("'SGO #1(Tiered or Simple)'!B41")=0, " ",INDIRECT("'SGO #1(Tiered or Simple)'!B41"))</f>
        <v xml:space="preserve"> </v>
      </c>
      <c r="C39" s="189"/>
      <c r="D39">
        <v>28</v>
      </c>
      <c r="E39" s="187" t="str">
        <f ca="1">IF(INDIRECT("'SGO #1(Tiered or Simple)'!B56")=0, " ",INDIRECT("'SGO #1(Tiered or Simple)'!B56"))</f>
        <v xml:space="preserve"> </v>
      </c>
      <c r="F39" s="187"/>
    </row>
    <row r="40" spans="1:6" x14ac:dyDescent="0.25">
      <c r="A40">
        <v>14</v>
      </c>
      <c r="B40" s="189" t="str">
        <f ca="1">IF(INDIRECT("'SGO #1(Tiered or Simple)'!B42")=0, " ",INDIRECT("'SGO #1(Tiered or Simple)'!B42"))</f>
        <v xml:space="preserve"> </v>
      </c>
      <c r="C40" s="189"/>
      <c r="D40">
        <v>29</v>
      </c>
      <c r="E40" s="187" t="str">
        <f ca="1">IF(INDIRECT("'SGO #1(Tiered or Simple)'!B57")=0, " ",INDIRECT("'SGO #1(Tiered or Simple)'!B57"))</f>
        <v xml:space="preserve"> </v>
      </c>
      <c r="F40" s="187"/>
    </row>
    <row r="41" spans="1:6" x14ac:dyDescent="0.25">
      <c r="A41">
        <v>15</v>
      </c>
      <c r="B41" s="189" t="str">
        <f ca="1">IF(INDIRECT("'SGO #1(Tiered or Simple)'!B43")=0, " ",INDIRECT("'SGO #1(Tiered or Simple)'!B43"))</f>
        <v xml:space="preserve"> </v>
      </c>
      <c r="C41" s="189"/>
      <c r="D41">
        <v>30</v>
      </c>
      <c r="E41" s="187" t="str">
        <f ca="1">IF(INDIRECT("'SGO #1(Tiered or Simple)'!B58")=0, " ",INDIRECT("'SGO #1(Tiered or Simple)'!B58"))</f>
        <v xml:space="preserve"> </v>
      </c>
      <c r="F41" s="187"/>
    </row>
    <row r="42" spans="1:6" x14ac:dyDescent="0.25">
      <c r="A42">
        <v>31</v>
      </c>
      <c r="B42" s="189" t="str">
        <f ca="1">IF(INDIRECT("'SGO #1(Tiered or Simple)'!B59")=0, " ",INDIRECT("'SGO #1(Tiered or Simple)'!B59"))</f>
        <v xml:space="preserve"> </v>
      </c>
      <c r="C42" s="189"/>
      <c r="D42">
        <v>78</v>
      </c>
      <c r="E42" s="187" t="str">
        <f ca="1">IF(INDIRECT("'SGO #1(Tiered or Simple)'!B106")=0, " ",INDIRECT("'SGO #1(Tiered or Simple)'!B106"))</f>
        <v xml:space="preserve"> </v>
      </c>
      <c r="F42" s="187"/>
    </row>
    <row r="43" spans="1:6" x14ac:dyDescent="0.25">
      <c r="A43">
        <v>32</v>
      </c>
      <c r="B43" s="189" t="str">
        <f ca="1">IF(INDIRECT("'SGO #1(Tiered or Simple)'!B60")=0, " ",INDIRECT("'SGO #1(Tiered or Simple)'!B60"))</f>
        <v xml:space="preserve"> </v>
      </c>
      <c r="C43" s="189"/>
      <c r="D43">
        <v>79</v>
      </c>
      <c r="E43" s="187" t="str">
        <f ca="1">IF(INDIRECT("'SGO #1(Tiered or Simple)'!B107")=0, " ",INDIRECT("'SGO #1(Tiered or Simple)'!B107"))</f>
        <v xml:space="preserve"> </v>
      </c>
      <c r="F43" s="187"/>
    </row>
    <row r="44" spans="1:6" x14ac:dyDescent="0.25">
      <c r="A44">
        <v>33</v>
      </c>
      <c r="B44" s="189" t="str">
        <f ca="1">IF(INDIRECT("'SGO #1(Tiered or Simple)'!B61")=0, " ",INDIRECT("'SGO #1(Tiered or Simple)'!B61"))</f>
        <v xml:space="preserve"> </v>
      </c>
      <c r="C44" s="189"/>
      <c r="D44">
        <v>80</v>
      </c>
      <c r="E44" s="187" t="str">
        <f ca="1">IF(INDIRECT("'SGO #1(Tiered or Simple)'!B108")=0, " ",INDIRECT("'SGO #1(Tiered or Simple)'!B108"))</f>
        <v xml:space="preserve"> </v>
      </c>
      <c r="F44" s="187"/>
    </row>
    <row r="45" spans="1:6" x14ac:dyDescent="0.25">
      <c r="A45">
        <v>34</v>
      </c>
      <c r="B45" s="189" t="str">
        <f ca="1">IF(INDIRECT("'SGO #1(Tiered or Simple)'!B62")=0, " ",INDIRECT("'SGO #1(Tiered or Simple)'!B62"))</f>
        <v xml:space="preserve"> </v>
      </c>
      <c r="C45" s="189"/>
      <c r="D45">
        <v>81</v>
      </c>
      <c r="E45" s="187" t="str">
        <f ca="1">IF(INDIRECT("'SGO #1(Tiered or Simple)'!B109")=0, " ",INDIRECT("'SGO #1(Tiered or Simple)'!B109"))</f>
        <v xml:space="preserve"> </v>
      </c>
      <c r="F45" s="187"/>
    </row>
    <row r="46" spans="1:6" x14ac:dyDescent="0.25">
      <c r="A46">
        <v>35</v>
      </c>
      <c r="B46" s="189" t="str">
        <f ca="1">IF(INDIRECT("'SGO #1(Tiered or Simple)'!B63")=0, " ",INDIRECT("'SGO #1(Tiered or Simple)'!B63"))</f>
        <v xml:space="preserve"> </v>
      </c>
      <c r="C46" s="189"/>
      <c r="D46">
        <v>82</v>
      </c>
      <c r="E46" s="187" t="str">
        <f ca="1">IF(INDIRECT("'SGO #1(Tiered or Simple)'!B110")=0, " ",INDIRECT("'SGO #1(Tiered or Simple)'!B110"))</f>
        <v xml:space="preserve"> </v>
      </c>
      <c r="F46" s="187"/>
    </row>
    <row r="47" spans="1:6" x14ac:dyDescent="0.25">
      <c r="A47">
        <v>36</v>
      </c>
      <c r="B47" s="189" t="str">
        <f ca="1">IF(INDIRECT("'SGO #1(Tiered or Simple)'!B64")=0, " ",INDIRECT("'SGO #1(Tiered or Simple)'!B64"))</f>
        <v xml:space="preserve"> </v>
      </c>
      <c r="C47" s="189"/>
      <c r="D47">
        <v>83</v>
      </c>
      <c r="E47" s="187" t="str">
        <f ca="1">IF(INDIRECT("'SGO #1(Tiered or Simple)'!B111")=0, " ",INDIRECT("'SGO #1(Tiered or Simple)'!B111"))</f>
        <v xml:space="preserve"> </v>
      </c>
      <c r="F47" s="187"/>
    </row>
    <row r="48" spans="1:6" x14ac:dyDescent="0.25">
      <c r="A48">
        <v>37</v>
      </c>
      <c r="B48" s="189" t="str">
        <f ca="1">IF(INDIRECT("'SGO #1(Tiered or Simple)'!B65")=0, " ",INDIRECT("'SGO #1(Tiered or Simple)'!B65"))</f>
        <v xml:space="preserve"> </v>
      </c>
      <c r="C48" s="189"/>
      <c r="D48">
        <v>84</v>
      </c>
      <c r="E48" s="187" t="str">
        <f ca="1">IF(INDIRECT("'SGO #1(Tiered or Simple)'!B112")=0, " ",INDIRECT("'SGO #1(Tiered or Simple)'!B112"))</f>
        <v xml:space="preserve"> </v>
      </c>
      <c r="F48" s="187"/>
    </row>
    <row r="49" spans="1:6" x14ac:dyDescent="0.25">
      <c r="A49">
        <v>38</v>
      </c>
      <c r="B49" s="189" t="str">
        <f ca="1">IF(INDIRECT("'SGO #1(Tiered or Simple)'!B66")=0, " ",INDIRECT("'SGO #1(Tiered or Simple)'!B66"))</f>
        <v xml:space="preserve"> </v>
      </c>
      <c r="C49" s="189"/>
      <c r="D49">
        <v>85</v>
      </c>
      <c r="E49" s="187" t="str">
        <f ca="1">IF(INDIRECT("'SGO #1(Tiered or Simple)'!B113")=0, " ",INDIRECT("'SGO #1(Tiered or Simple)'!B113"))</f>
        <v xml:space="preserve"> </v>
      </c>
      <c r="F49" s="187"/>
    </row>
    <row r="50" spans="1:6" x14ac:dyDescent="0.25">
      <c r="A50">
        <v>39</v>
      </c>
      <c r="B50" s="189" t="str">
        <f ca="1">IF(INDIRECT("'SGO #1(Tiered or Simple)'!B67")=0, " ",INDIRECT("'SGO #1(Tiered or Simple)'!B67"))</f>
        <v xml:space="preserve"> </v>
      </c>
      <c r="C50" s="189"/>
      <c r="D50">
        <v>86</v>
      </c>
      <c r="E50" s="187" t="str">
        <f ca="1">IF(INDIRECT("'SGO #1(Tiered or Simple)'!B114")=0, " ",INDIRECT("'SGO #1(Tiered or Simple)'!B114"))</f>
        <v xml:space="preserve"> </v>
      </c>
      <c r="F50" s="187"/>
    </row>
    <row r="51" spans="1:6" x14ac:dyDescent="0.25">
      <c r="A51">
        <v>40</v>
      </c>
      <c r="B51" s="189" t="str">
        <f ca="1">IF(INDIRECT("'SGO #1(Tiered or Simple)'!B68")=0, " ",INDIRECT("'SGO #1(Tiered or Simple)'!B68"))</f>
        <v xml:space="preserve"> </v>
      </c>
      <c r="C51" s="189"/>
      <c r="D51">
        <v>87</v>
      </c>
      <c r="E51" s="187" t="str">
        <f ca="1">IF(INDIRECT("'SGO #1(Tiered or Simple)'!B115")=0, " ",INDIRECT("'SGO #1(Tiered or Simple)'!B115"))</f>
        <v xml:space="preserve"> </v>
      </c>
      <c r="F51" s="187"/>
    </row>
    <row r="52" spans="1:6" x14ac:dyDescent="0.25">
      <c r="A52">
        <v>41</v>
      </c>
      <c r="B52" s="189" t="str">
        <f ca="1">IF(INDIRECT("'SGO #1(Tiered or Simple)'!B69")=0, " ",INDIRECT("'SGO #1(Tiered or Simple)'!B69"))</f>
        <v xml:space="preserve"> </v>
      </c>
      <c r="C52" s="189"/>
      <c r="D52">
        <v>88</v>
      </c>
      <c r="E52" s="187" t="str">
        <f ca="1">IF(INDIRECT("'SGO #1(Tiered or Simple)'!B116")=0, " ",INDIRECT("'SGO #1(Tiered or Simple)'!B116"))</f>
        <v xml:space="preserve"> </v>
      </c>
      <c r="F52" s="187"/>
    </row>
    <row r="53" spans="1:6" x14ac:dyDescent="0.25">
      <c r="A53">
        <v>42</v>
      </c>
      <c r="B53" s="189" t="str">
        <f ca="1">IF(INDIRECT("'SGO #1(Tiered or Simple)'!B70")=0, " ",INDIRECT("'SGO #1(Tiered or Simple)'!B70"))</f>
        <v xml:space="preserve"> </v>
      </c>
      <c r="C53" s="189"/>
      <c r="D53">
        <v>89</v>
      </c>
      <c r="E53" s="187" t="str">
        <f ca="1">IF(INDIRECT("'SGO #1(Tiered or Simple)'!B117")=0, " ",INDIRECT("'SGO #1(Tiered or Simple)'!B117"))</f>
        <v xml:space="preserve"> </v>
      </c>
      <c r="F53" s="187"/>
    </row>
    <row r="54" spans="1:6" x14ac:dyDescent="0.25">
      <c r="A54">
        <v>43</v>
      </c>
      <c r="B54" s="189" t="str">
        <f ca="1">IF(INDIRECT("'SGO #1(Tiered or Simple)'!B71")=0, " ",INDIRECT("'SGO #1(Tiered or Simple)'!B71"))</f>
        <v xml:space="preserve"> </v>
      </c>
      <c r="C54" s="189"/>
      <c r="D54">
        <v>90</v>
      </c>
      <c r="E54" s="187" t="str">
        <f ca="1">IF(INDIRECT("'SGO #1(Tiered or Simple)'!B118")=0, " ",INDIRECT("'SGO #1(Tiered or Simple)'!B118"))</f>
        <v xml:space="preserve"> </v>
      </c>
      <c r="F54" s="187"/>
    </row>
    <row r="55" spans="1:6" x14ac:dyDescent="0.25">
      <c r="A55">
        <v>44</v>
      </c>
      <c r="B55" s="189" t="str">
        <f ca="1">IF(INDIRECT("'SGO #1(Tiered or Simple)'!B72")=0, " ",INDIRECT("'SGO #1(Tiered or Simple)'!B72"))</f>
        <v xml:space="preserve"> </v>
      </c>
      <c r="C55" s="189"/>
      <c r="D55">
        <v>91</v>
      </c>
      <c r="E55" s="187" t="str">
        <f ca="1">IF(INDIRECT("'SGO #1(Tiered or Simple)'!B119")=0, " ",INDIRECT("'SGO #1(Tiered or Simple)'!B119"))</f>
        <v xml:space="preserve"> </v>
      </c>
      <c r="F55" s="187"/>
    </row>
    <row r="56" spans="1:6" x14ac:dyDescent="0.25">
      <c r="A56">
        <v>45</v>
      </c>
      <c r="B56" s="189" t="str">
        <f ca="1">IF(INDIRECT("'SGO #1(Tiered or Simple)'!B73")=0, " ",INDIRECT("'SGO #1(Tiered or Simple)'!B73"))</f>
        <v xml:space="preserve"> </v>
      </c>
      <c r="C56" s="189"/>
      <c r="D56">
        <v>92</v>
      </c>
      <c r="E56" s="187" t="str">
        <f ca="1">IF(INDIRECT("'SGO #1(Tiered or Simple)'!B120")=0, " ",INDIRECT("'SGO #1(Tiered or Simple)'!B120"))</f>
        <v xml:space="preserve"> </v>
      </c>
      <c r="F56" s="187"/>
    </row>
    <row r="57" spans="1:6" x14ac:dyDescent="0.25">
      <c r="A57">
        <v>46</v>
      </c>
      <c r="B57" s="189" t="str">
        <f ca="1">IF(INDIRECT("'SGO #1(Tiered or Simple)'!B74")=0, " ",INDIRECT("'SGO #1(Tiered or Simple)'!B74"))</f>
        <v xml:space="preserve"> </v>
      </c>
      <c r="C57" s="189"/>
      <c r="D57">
        <v>93</v>
      </c>
      <c r="E57" s="187" t="str">
        <f ca="1">IF(INDIRECT("'SGO #1(Tiered or Simple)'!B121")=0, " ",INDIRECT("'SGO #1(Tiered or Simple)'!B121"))</f>
        <v xml:space="preserve"> </v>
      </c>
      <c r="F57" s="187"/>
    </row>
    <row r="58" spans="1:6" x14ac:dyDescent="0.25">
      <c r="A58">
        <v>47</v>
      </c>
      <c r="B58" s="189" t="str">
        <f ca="1">IF(INDIRECT("'SGO #1(Tiered or Simple)'!B75")=0, " ",INDIRECT("'SGO #1(Tiered or Simple)'!B75"))</f>
        <v xml:space="preserve"> </v>
      </c>
      <c r="C58" s="189"/>
      <c r="D58">
        <v>94</v>
      </c>
      <c r="E58" s="187" t="str">
        <f ca="1">IF(INDIRECT("'SGO #1(Tiered or Simple)'!B122")=0, " ",INDIRECT("'SGO #1(Tiered or Simple)'!B122"))</f>
        <v xml:space="preserve"> </v>
      </c>
      <c r="F58" s="187"/>
    </row>
    <row r="59" spans="1:6" x14ac:dyDescent="0.25">
      <c r="A59">
        <v>48</v>
      </c>
      <c r="B59" s="189" t="str">
        <f ca="1">IF(INDIRECT("'SGO #1(Tiered or Simple)'!B76")=0, " ",INDIRECT("'SGO #1(Tiered or Simple)'!B76"))</f>
        <v xml:space="preserve"> </v>
      </c>
      <c r="C59" s="189"/>
      <c r="D59">
        <v>95</v>
      </c>
      <c r="E59" s="187" t="str">
        <f ca="1">IF(INDIRECT("'SGO #1(Tiered or Simple)'!B123")=0, " ",INDIRECT("'SGO #1(Tiered or Simple)'!B123"))</f>
        <v xml:space="preserve"> </v>
      </c>
      <c r="F59" s="187"/>
    </row>
    <row r="60" spans="1:6" x14ac:dyDescent="0.25">
      <c r="A60">
        <v>49</v>
      </c>
      <c r="B60" s="189" t="str">
        <f ca="1">IF(INDIRECT("'SGO #1(Tiered or Simple)'!B77")=0, " ",INDIRECT("'SGO #1(Tiered or Simple)'!B77"))</f>
        <v xml:space="preserve"> </v>
      </c>
      <c r="C60" s="189"/>
      <c r="D60">
        <v>96</v>
      </c>
      <c r="E60" s="187" t="str">
        <f ca="1">IF(INDIRECT("'SGO #1(Tiered or Simple)'!B124")=0, " ",INDIRECT("'SGO #1(Tiered or Simple)'!B124"))</f>
        <v xml:space="preserve"> </v>
      </c>
      <c r="F60" s="187"/>
    </row>
    <row r="61" spans="1:6" x14ac:dyDescent="0.25">
      <c r="A61">
        <v>50</v>
      </c>
      <c r="B61" s="189" t="str">
        <f ca="1">IF(INDIRECT("'SGO #1(Tiered or Simple)'!B78")=0, " ",INDIRECT("'SGO #1(Tiered or Simple)'!B78"))</f>
        <v xml:space="preserve"> </v>
      </c>
      <c r="C61" s="189"/>
      <c r="D61">
        <v>97</v>
      </c>
      <c r="E61" s="187" t="str">
        <f ca="1">IF(INDIRECT("'SGO #1(Tiered or Simple)'!B125")=0, " ",INDIRECT("'SGO #1(Tiered or Simple)'!B125"))</f>
        <v xml:space="preserve"> </v>
      </c>
      <c r="F61" s="187"/>
    </row>
    <row r="62" spans="1:6" x14ac:dyDescent="0.25">
      <c r="A62">
        <v>51</v>
      </c>
      <c r="B62" s="189" t="str">
        <f ca="1">IF(INDIRECT("'SGO #1(Tiered or Simple)'!B79")=0, " ",INDIRECT("'SGO #1(Tiered or Simple)'!B79"))</f>
        <v xml:space="preserve"> </v>
      </c>
      <c r="C62" s="189"/>
      <c r="D62">
        <v>98</v>
      </c>
      <c r="E62" s="187" t="str">
        <f ca="1">IF(INDIRECT("'SGO #1(Tiered or Simple)'!B126")=0, " ",INDIRECT("'SGO #1(Tiered or Simple)'!B126"))</f>
        <v xml:space="preserve"> </v>
      </c>
      <c r="F62" s="187"/>
    </row>
    <row r="63" spans="1:6" x14ac:dyDescent="0.25">
      <c r="A63">
        <v>52</v>
      </c>
      <c r="B63" s="189" t="str">
        <f ca="1">IF(INDIRECT("'SGO #1(Tiered or Simple)'!B80")=0, " ",INDIRECT("'SGO #1(Tiered or Simple)'!B80"))</f>
        <v xml:space="preserve"> </v>
      </c>
      <c r="C63" s="189"/>
      <c r="D63">
        <v>99</v>
      </c>
      <c r="E63" s="187" t="str">
        <f ca="1">IF(INDIRECT("'SGO #1(Tiered or Simple)'!B127")=0, " ",INDIRECT("'SGO #1(Tiered or Simple)'!B127"))</f>
        <v xml:space="preserve"> </v>
      </c>
      <c r="F63" s="187"/>
    </row>
    <row r="64" spans="1:6" x14ac:dyDescent="0.25">
      <c r="A64">
        <v>53</v>
      </c>
      <c r="B64" s="189" t="str">
        <f ca="1">IF(INDIRECT("'SGO #1(Tiered or Simple)'!B81")=0, " ",INDIRECT("'SGO #1(Tiered or Simple)'!B81"))</f>
        <v xml:space="preserve"> </v>
      </c>
      <c r="C64" s="189"/>
      <c r="D64">
        <v>100</v>
      </c>
      <c r="E64" s="187" t="str">
        <f ca="1">IF(INDIRECT("'SGO #1(Tiered or Simple)'!B128")=0, " ",INDIRECT("'SGO #1(Tiered or Simple)'!B128"))</f>
        <v xml:space="preserve"> </v>
      </c>
      <c r="F64" s="187"/>
    </row>
    <row r="65" spans="1:6" x14ac:dyDescent="0.25">
      <c r="A65">
        <v>54</v>
      </c>
      <c r="B65" s="189" t="str">
        <f ca="1">IF(INDIRECT("'SGO #1(Tiered or Simple)'!B82")=0, " ",INDIRECT("'SGO #1(Tiered or Simple)'!B82"))</f>
        <v xml:space="preserve"> </v>
      </c>
      <c r="C65" s="189"/>
      <c r="D65">
        <v>101</v>
      </c>
      <c r="E65" s="187" t="str">
        <f ca="1">IF(INDIRECT("'SGO #1(Tiered or Simple)'!B129")=0, " ",INDIRECT("'SGO #1(Tiered or Simple)'!B129"))</f>
        <v xml:space="preserve"> </v>
      </c>
      <c r="F65" s="187"/>
    </row>
    <row r="66" spans="1:6" x14ac:dyDescent="0.25">
      <c r="A66">
        <v>55</v>
      </c>
      <c r="B66" s="189" t="str">
        <f ca="1">IF(INDIRECT("'SGO #1(Tiered or Simple)'!B83")=0, " ",INDIRECT("'SGO #1(Tiered or Simple)'!B83"))</f>
        <v xml:space="preserve"> </v>
      </c>
      <c r="C66" s="189"/>
      <c r="D66">
        <v>102</v>
      </c>
      <c r="E66" s="187" t="str">
        <f ca="1">IF(INDIRECT("'SGO #1(Tiered or Simple)'!B130")=0, " ",INDIRECT("'SGO #1(Tiered or Simple)'!B130"))</f>
        <v xml:space="preserve"> </v>
      </c>
      <c r="F66" s="187"/>
    </row>
    <row r="67" spans="1:6" x14ac:dyDescent="0.25">
      <c r="A67">
        <v>56</v>
      </c>
      <c r="B67" s="189" t="str">
        <f ca="1">IF(INDIRECT("'SGO #1(Tiered or Simple)'!B84")=0, " ",INDIRECT("'SGO #1(Tiered or Simple)'!B84"))</f>
        <v xml:space="preserve"> </v>
      </c>
      <c r="C67" s="189"/>
      <c r="D67">
        <v>103</v>
      </c>
      <c r="E67" s="187" t="str">
        <f ca="1">IF(INDIRECT("'SGO #1(Tiered or Simple)'!B131")=0, " ",INDIRECT("'SGO #1(Tiered or Simple)'!B131"))</f>
        <v xml:space="preserve"> </v>
      </c>
      <c r="F67" s="187"/>
    </row>
    <row r="68" spans="1:6" x14ac:dyDescent="0.25">
      <c r="A68">
        <v>57</v>
      </c>
      <c r="B68" s="189" t="str">
        <f ca="1">IF(INDIRECT("'SGO #1(Tiered or Simple)'!B85")=0, " ",INDIRECT("'SGO #1(Tiered or Simple)'!B85"))</f>
        <v xml:space="preserve"> </v>
      </c>
      <c r="C68" s="189"/>
      <c r="D68">
        <v>104</v>
      </c>
      <c r="E68" s="187" t="str">
        <f ca="1">IF(INDIRECT("'SGO #1(Tiered or Simple)'!B132")=0, " ",INDIRECT("'SGO #1(Tiered or Simple)'!B132"))</f>
        <v xml:space="preserve"> </v>
      </c>
      <c r="F68" s="187"/>
    </row>
    <row r="69" spans="1:6" x14ac:dyDescent="0.25">
      <c r="A69">
        <v>58</v>
      </c>
      <c r="B69" s="189" t="str">
        <f ca="1">IF(INDIRECT("'SGO #1(Tiered or Simple)'!B86")=0, " ",INDIRECT("'SGO #1(Tiered or Simple)'!B86"))</f>
        <v xml:space="preserve"> </v>
      </c>
      <c r="C69" s="189"/>
      <c r="D69">
        <v>105</v>
      </c>
      <c r="E69" s="187" t="str">
        <f ca="1">IF(INDIRECT("'SGO #1(Tiered or Simple)'!B133")=0, " ",INDIRECT("'SGO #1(Tiered or Simple)'!B133"))</f>
        <v xml:space="preserve"> </v>
      </c>
      <c r="F69" s="187"/>
    </row>
    <row r="70" spans="1:6" x14ac:dyDescent="0.25">
      <c r="A70">
        <v>59</v>
      </c>
      <c r="B70" s="189" t="str">
        <f ca="1">IF(INDIRECT("'SGO #1(Tiered or Simple)'!B87")=0, " ",INDIRECT("'SGO #1(Tiered or Simple)'!B87"))</f>
        <v xml:space="preserve"> </v>
      </c>
      <c r="C70" s="189"/>
      <c r="D70">
        <v>106</v>
      </c>
      <c r="E70" s="187" t="str">
        <f ca="1">IF(INDIRECT("'SGO #1(Tiered or Simple)'!B134")=0, " ",INDIRECT("'SGO #1(Tiered or Simple)'!B134"))</f>
        <v xml:space="preserve"> </v>
      </c>
      <c r="F70" s="187"/>
    </row>
    <row r="71" spans="1:6" x14ac:dyDescent="0.25">
      <c r="A71">
        <v>60</v>
      </c>
      <c r="B71" s="189" t="str">
        <f ca="1">IF(INDIRECT("'SGO #1(Tiered or Simple)'!B88")=0, " ",INDIRECT("'SGO #1(Tiered or Simple)'!B88"))</f>
        <v xml:space="preserve"> </v>
      </c>
      <c r="C71" s="189"/>
      <c r="D71">
        <v>107</v>
      </c>
      <c r="E71" s="187" t="str">
        <f ca="1">IF(INDIRECT("'SGO #1(Tiered or Simple)'!B135")=0, " ",INDIRECT("'SGO #1(Tiered or Simple)'!B135"))</f>
        <v xml:space="preserve"> </v>
      </c>
      <c r="F71" s="187"/>
    </row>
    <row r="72" spans="1:6" x14ac:dyDescent="0.25">
      <c r="A72">
        <v>61</v>
      </c>
      <c r="B72" s="189" t="str">
        <f ca="1">IF(INDIRECT("'SGO #1(Tiered or Simple)'!B89")=0, " ",INDIRECT("'SGO #1(Tiered or Simple)'!B89"))</f>
        <v xml:space="preserve"> </v>
      </c>
      <c r="C72" s="189"/>
      <c r="D72">
        <v>108</v>
      </c>
      <c r="E72" s="187" t="str">
        <f ca="1">IF(INDIRECT("'SGO #1(Tiered or Simple)'!B136")=0, " ",INDIRECT("'SGO #1(Tiered or Simple)'!B136"))</f>
        <v xml:space="preserve"> </v>
      </c>
      <c r="F72" s="187"/>
    </row>
    <row r="73" spans="1:6" x14ac:dyDescent="0.25">
      <c r="A73">
        <v>62</v>
      </c>
      <c r="B73" s="189" t="str">
        <f ca="1">IF(INDIRECT("'SGO #1(Tiered or Simple)'!B90")=0, " ",INDIRECT("'SGO #1(Tiered or Simple)'!B90"))</f>
        <v xml:space="preserve"> </v>
      </c>
      <c r="C73" s="189"/>
      <c r="D73">
        <v>109</v>
      </c>
      <c r="E73" s="187" t="str">
        <f ca="1">IF(INDIRECT("'SGO #1(Tiered or Simple)'!B137")=0, " ",INDIRECT("'SGO #1(Tiered or Simple)'!B137"))</f>
        <v xml:space="preserve"> </v>
      </c>
      <c r="F73" s="187"/>
    </row>
    <row r="74" spans="1:6" x14ac:dyDescent="0.25">
      <c r="A74">
        <v>63</v>
      </c>
      <c r="B74" s="189" t="str">
        <f ca="1">IF(INDIRECT("'SGO #1(Tiered or Simple)'!B91")=0, " ",INDIRECT("'SGO #1(Tiered or Simple)'!B91"))</f>
        <v xml:space="preserve"> </v>
      </c>
      <c r="C74" s="189"/>
      <c r="D74">
        <v>110</v>
      </c>
      <c r="E74" s="187" t="str">
        <f ca="1">IF(INDIRECT("'SGO #1(Tiered or Simple)'!B138")=0, " ",INDIRECT("'SGO #1(Tiered or Simple)'!B138"))</f>
        <v xml:space="preserve"> </v>
      </c>
      <c r="F74" s="187"/>
    </row>
    <row r="75" spans="1:6" x14ac:dyDescent="0.25">
      <c r="A75">
        <v>64</v>
      </c>
      <c r="B75" s="189" t="str">
        <f ca="1">IF(INDIRECT("'SGO #1(Tiered or Simple)'!B92")=0, " ",INDIRECT("'SGO #1(Tiered or Simple)'!B92"))</f>
        <v xml:space="preserve"> </v>
      </c>
      <c r="C75" s="189"/>
      <c r="D75">
        <v>111</v>
      </c>
      <c r="E75" s="187" t="str">
        <f ca="1">IF(INDIRECT("'SGO #1(Tiered or Simple)'!B139")=0, " ",INDIRECT("'SGO #1(Tiered or Simple)'!B139"))</f>
        <v xml:space="preserve"> </v>
      </c>
      <c r="F75" s="187"/>
    </row>
    <row r="76" spans="1:6" x14ac:dyDescent="0.25">
      <c r="A76">
        <v>65</v>
      </c>
      <c r="B76" s="189" t="str">
        <f ca="1">IF(INDIRECT("'SGO #1(Tiered or Simple)'!B93")=0, " ",INDIRECT("'SGO #1(Tiered or Simple)'!B93"))</f>
        <v xml:space="preserve"> </v>
      </c>
      <c r="C76" s="189"/>
      <c r="D76">
        <v>112</v>
      </c>
      <c r="E76" s="187" t="str">
        <f ca="1">IF(INDIRECT("'SGO #1(Tiered or Simple)'!B140")=0, " ",INDIRECT("'SGO #1(Tiered or Simple)'!B140"))</f>
        <v xml:space="preserve"> </v>
      </c>
      <c r="F76" s="187"/>
    </row>
    <row r="77" spans="1:6" x14ac:dyDescent="0.25">
      <c r="A77">
        <v>66</v>
      </c>
      <c r="B77" s="189" t="str">
        <f ca="1">IF(INDIRECT("'SGO #1(Tiered or Simple)'!B94")=0, " ",INDIRECT("'SGO #1(Tiered or Simple)'!B94"))</f>
        <v xml:space="preserve"> </v>
      </c>
      <c r="C77" s="189"/>
      <c r="D77">
        <v>113</v>
      </c>
      <c r="E77" s="187" t="str">
        <f ca="1">IF(INDIRECT("'SGO #1(Tiered or Simple)'!B141")=0, " ",INDIRECT("'SGO #1(Tiered or Simple)'!B141"))</f>
        <v xml:space="preserve"> </v>
      </c>
      <c r="F77" s="187"/>
    </row>
    <row r="78" spans="1:6" x14ac:dyDescent="0.25">
      <c r="A78">
        <v>67</v>
      </c>
      <c r="B78" s="189" t="str">
        <f ca="1">IF(INDIRECT("'SGO #1(Tiered or Simple)'!B95")=0, " ",INDIRECT("'SGO #1(Tiered or Simple)'!B95"))</f>
        <v xml:space="preserve"> </v>
      </c>
      <c r="C78" s="189"/>
      <c r="D78">
        <v>114</v>
      </c>
      <c r="E78" s="187" t="str">
        <f ca="1">IF(INDIRECT("'SGO #1(Tiered or Simple)'!B142")=0, " ",INDIRECT("'SGO #1(Tiered or Simple)'!B142"))</f>
        <v xml:space="preserve"> </v>
      </c>
      <c r="F78" s="187"/>
    </row>
    <row r="79" spans="1:6" x14ac:dyDescent="0.25">
      <c r="A79">
        <v>68</v>
      </c>
      <c r="B79" s="189" t="str">
        <f ca="1">IF(INDIRECT("'SGO #1(Tiered or Simple)'!B96")=0, " ",INDIRECT("'SGO #1(Tiered or Simple)'!B96"))</f>
        <v xml:space="preserve"> </v>
      </c>
      <c r="C79" s="189"/>
      <c r="D79">
        <v>115</v>
      </c>
      <c r="E79" s="187" t="str">
        <f ca="1">IF(INDIRECT("'SGO #1(Tiered or Simple)'!B143")=0, " ",INDIRECT("'SGO #1(Tiered or Simple)'!B143"))</f>
        <v xml:space="preserve"> </v>
      </c>
      <c r="F79" s="187"/>
    </row>
    <row r="80" spans="1:6" x14ac:dyDescent="0.25">
      <c r="A80">
        <v>69</v>
      </c>
      <c r="B80" s="189" t="str">
        <f ca="1">IF(INDIRECT("'SGO #1(Tiered or Simple)'!B97")=0, " ",INDIRECT("'SGO #1(Tiered or Simple)'!B97"))</f>
        <v xml:space="preserve"> </v>
      </c>
      <c r="C80" s="189"/>
      <c r="D80">
        <v>116</v>
      </c>
      <c r="E80" s="187" t="str">
        <f ca="1">IF(INDIRECT("'SGO #1(Tiered or Simple)'!B144")=0, " ",INDIRECT("'SGO #1(Tiered or Simple)'!B144"))</f>
        <v xml:space="preserve"> </v>
      </c>
      <c r="F80" s="187"/>
    </row>
    <row r="81" spans="1:6" x14ac:dyDescent="0.25">
      <c r="A81">
        <v>70</v>
      </c>
      <c r="B81" s="189" t="str">
        <f ca="1">IF(INDIRECT("'SGO #1(Tiered or Simple)'!B98")=0, " ",INDIRECT("'SGO #1(Tiered or Simple)'!B98"))</f>
        <v xml:space="preserve"> </v>
      </c>
      <c r="C81" s="189"/>
      <c r="D81">
        <v>117</v>
      </c>
      <c r="E81" s="187" t="str">
        <f ca="1">IF(INDIRECT("'SGO #1(Tiered or Simple)'!B145")=0, " ",INDIRECT("'SGO #1(Tiered or Simple)'!B145"))</f>
        <v xml:space="preserve"> </v>
      </c>
      <c r="F81" s="187"/>
    </row>
    <row r="82" spans="1:6" x14ac:dyDescent="0.25">
      <c r="A82">
        <v>71</v>
      </c>
      <c r="B82" s="189" t="str">
        <f ca="1">IF(INDIRECT("'SGO #1(Tiered or Simple)'!B99")=0, " ",INDIRECT("'SGO #1(Tiered or Simple)'!B99"))</f>
        <v xml:space="preserve"> </v>
      </c>
      <c r="C82" s="189"/>
      <c r="D82">
        <v>118</v>
      </c>
      <c r="E82" s="187" t="str">
        <f ca="1">IF(INDIRECT("'SGO #1(Tiered or Simple)'!B146")=0, " ",INDIRECT("'SGO #1(Tiered or Simple)'!B146"))</f>
        <v xml:space="preserve"> </v>
      </c>
      <c r="F82" s="187"/>
    </row>
    <row r="83" spans="1:6" x14ac:dyDescent="0.25">
      <c r="A83">
        <v>72</v>
      </c>
      <c r="B83" s="189" t="str">
        <f ca="1">IF(INDIRECT("'SGO #1(Tiered or Simple)'!B100")=0, " ",INDIRECT("'SGO #1(Tiered or Simple)'!B100"))</f>
        <v xml:space="preserve"> </v>
      </c>
      <c r="C83" s="189"/>
      <c r="D83">
        <v>119</v>
      </c>
      <c r="E83" s="187" t="str">
        <f ca="1">IF(INDIRECT("'SGO #1(Tiered or Simple)'!B147")=0, " ",INDIRECT("'SGO #1(Tiered or Simple)'!B147"))</f>
        <v xml:space="preserve"> </v>
      </c>
      <c r="F83" s="187"/>
    </row>
    <row r="84" spans="1:6" x14ac:dyDescent="0.25">
      <c r="A84">
        <v>73</v>
      </c>
      <c r="B84" s="189" t="str">
        <f ca="1">IF(INDIRECT("'SGO #1(Tiered or Simple)'!B101")=0, " ",INDIRECT("'SGO #1(Tiered or Simple)'!B101"))</f>
        <v xml:space="preserve"> </v>
      </c>
      <c r="C84" s="189"/>
      <c r="D84">
        <v>120</v>
      </c>
      <c r="E84" s="187" t="str">
        <f ca="1">IF(INDIRECT("'SGO #1(Tiered or Simple)'!B148")=0, " ",INDIRECT("'SGO #1(Tiered or Simple)'!B148"))</f>
        <v xml:space="preserve"> </v>
      </c>
      <c r="F84" s="187"/>
    </row>
    <row r="85" spans="1:6" x14ac:dyDescent="0.25">
      <c r="A85">
        <v>74</v>
      </c>
      <c r="B85" s="189" t="str">
        <f ca="1">IF(INDIRECT("'SGO #1(Tiered or Simple)'!B102")=0, " ",INDIRECT("'SGO #1(Tiered or Simple)'!B102"))</f>
        <v xml:space="preserve"> </v>
      </c>
      <c r="C85" s="189"/>
      <c r="D85">
        <v>121</v>
      </c>
      <c r="E85" s="187" t="str">
        <f ca="1">IF(INDIRECT("'SGO #1(Tiered or Simple)'!B149")=0, " ",INDIRECT("'SGO #1(Tiered or Simple)'!B149"))</f>
        <v xml:space="preserve"> </v>
      </c>
      <c r="F85" s="187"/>
    </row>
    <row r="86" spans="1:6" x14ac:dyDescent="0.25">
      <c r="A86">
        <v>75</v>
      </c>
      <c r="B86" s="189" t="str">
        <f ca="1">IF(INDIRECT("'SGO #1(Tiered or Simple)'!B103")=0, " ",INDIRECT("'SGO #1(Tiered or Simple)'!B103"))</f>
        <v xml:space="preserve"> </v>
      </c>
      <c r="C86" s="189"/>
      <c r="D86">
        <v>122</v>
      </c>
      <c r="E86" s="187" t="str">
        <f ca="1">IF(INDIRECT("'SGO #1(Tiered or Simple)'!B150")=0, " ",INDIRECT("'SGO #1(Tiered or Simple)'!B150"))</f>
        <v xml:space="preserve"> </v>
      </c>
      <c r="F86" s="187"/>
    </row>
    <row r="87" spans="1:6" x14ac:dyDescent="0.25">
      <c r="A87">
        <v>76</v>
      </c>
      <c r="B87" s="189" t="str">
        <f ca="1">IF(INDIRECT("'SGO #1(Tiered or Simple)'!B104")=0, " ",INDIRECT("'SGO #1(Tiered or Simple)'!B104"))</f>
        <v xml:space="preserve"> </v>
      </c>
      <c r="C87" s="189"/>
      <c r="D87">
        <v>123</v>
      </c>
      <c r="E87" s="187" t="str">
        <f ca="1">IF(INDIRECT("'SGO #1(Tiered or Simple)'!B151")=0, " ",INDIRECT("'SGO #1(Tiered or Simple)'!B151"))</f>
        <v xml:space="preserve"> </v>
      </c>
      <c r="F87" s="187"/>
    </row>
    <row r="88" spans="1:6" x14ac:dyDescent="0.25">
      <c r="A88">
        <v>77</v>
      </c>
      <c r="B88" s="189" t="str">
        <f ca="1">IF(INDIRECT("'SGO #1(Tiered or Simple)'!B105")=0, " ",INDIRECT("'SGO #1(Tiered or Simple)'!B105"))</f>
        <v xml:space="preserve"> </v>
      </c>
      <c r="C88" s="189"/>
      <c r="D88">
        <v>124</v>
      </c>
      <c r="E88" s="187" t="str">
        <f ca="1">IF(INDIRECT("'SGO #1(Tiered or Simple)'!B152")=0, " ",INDIRECT("'SGO #1(Tiered or Simple)'!B152"))</f>
        <v xml:space="preserve"> </v>
      </c>
      <c r="F88" s="187"/>
    </row>
    <row r="89" spans="1:6" x14ac:dyDescent="0.25">
      <c r="A89">
        <v>125</v>
      </c>
      <c r="B89" s="189" t="str">
        <f ca="1">IF(INDIRECT("'SGO #1(Tiered or Simple)'!B153")=0, " ",INDIRECT("'SGO #1(Tiered or Simple)'!B153"))</f>
        <v xml:space="preserve"> </v>
      </c>
      <c r="C89" s="189"/>
      <c r="D89">
        <v>139</v>
      </c>
      <c r="E89" s="187" t="str">
        <f ca="1">IF(INDIRECT("'SGO #1(Tiered or Simple)'!B167")=0, " ",INDIRECT("'SGO #1(Tiered or Simple)'!B167"))</f>
        <v xml:space="preserve"> </v>
      </c>
      <c r="F89" s="187"/>
    </row>
    <row r="90" spans="1:6" x14ac:dyDescent="0.25">
      <c r="A90" s="114">
        <v>126</v>
      </c>
      <c r="B90" s="189" t="str">
        <f ca="1">IF(INDIRECT("'SGO #1(Tiered or Simple)'!B154")=0, " ",INDIRECT("'SGO #1(Tiered or Simple)'!B154"))</f>
        <v xml:space="preserve"> </v>
      </c>
      <c r="C90" s="189"/>
      <c r="D90" s="114">
        <v>140</v>
      </c>
      <c r="E90" s="187" t="str">
        <f ca="1">IF(INDIRECT("'SGO #1(Tiered or Simple)'!B168")=0, " ",INDIRECT("'SGO #1(Tiered or Simple)'!B168"))</f>
        <v xml:space="preserve"> </v>
      </c>
      <c r="F90" s="187"/>
    </row>
    <row r="91" spans="1:6" x14ac:dyDescent="0.25">
      <c r="A91" s="114">
        <v>127</v>
      </c>
      <c r="B91" s="189" t="str">
        <f ca="1">IF(INDIRECT("'SGO #1(Tiered or Simple)'!B155")=0, " ",INDIRECT("'SGO #1(Tiered or Simple)'!B155"))</f>
        <v xml:space="preserve"> </v>
      </c>
      <c r="C91" s="189"/>
      <c r="D91" s="114">
        <v>141</v>
      </c>
      <c r="E91" s="187" t="str">
        <f ca="1">IF(INDIRECT("'SGO #1(Tiered or Simple)'!B169")=0, " ",INDIRECT("'SGO #1(Tiered or Simple)'!B169"))</f>
        <v xml:space="preserve"> </v>
      </c>
      <c r="F91" s="187"/>
    </row>
    <row r="92" spans="1:6" x14ac:dyDescent="0.25">
      <c r="A92" s="114">
        <v>128</v>
      </c>
      <c r="B92" s="189" t="str">
        <f ca="1">IF(INDIRECT("'SGO #1(Tiered or Simple)'!B156")=0, " ",INDIRECT("'SGO #1(Tiered or Simple)'!B156"))</f>
        <v xml:space="preserve"> </v>
      </c>
      <c r="C92" s="189"/>
      <c r="D92" s="114">
        <v>142</v>
      </c>
      <c r="E92" s="187" t="str">
        <f ca="1">IF(INDIRECT("'SGO #1(Tiered or Simple)'!B170")=0, " ",INDIRECT("'SGO #1(Tiered or Simple)'!B170"))</f>
        <v xml:space="preserve"> </v>
      </c>
      <c r="F92" s="187"/>
    </row>
    <row r="93" spans="1:6" x14ac:dyDescent="0.25">
      <c r="A93" s="114">
        <v>129</v>
      </c>
      <c r="B93" s="189" t="str">
        <f ca="1">IF(INDIRECT("'SGO #1(Tiered or Simple)'!B157")=0, " ",INDIRECT("'SGO #1(Tiered or Simple)'!B157"))</f>
        <v xml:space="preserve"> </v>
      </c>
      <c r="C93" s="189"/>
      <c r="D93" s="114">
        <v>143</v>
      </c>
      <c r="E93" s="187" t="str">
        <f ca="1">IF(INDIRECT("'SGO #1(Tiered or Simple)'!B171")=0, " ",INDIRECT("'SGO #1(Tiered or Simple)'!B171"))</f>
        <v xml:space="preserve"> </v>
      </c>
      <c r="F93" s="187"/>
    </row>
    <row r="94" spans="1:6" x14ac:dyDescent="0.25">
      <c r="A94" s="114">
        <v>130</v>
      </c>
      <c r="B94" s="189" t="str">
        <f ca="1">IF(INDIRECT("'SGO #1(Tiered or Simple)'!B158")=0, " ",INDIRECT("'SGO #1(Tiered or Simple)'!B158"))</f>
        <v xml:space="preserve"> </v>
      </c>
      <c r="C94" s="189"/>
      <c r="D94" s="114">
        <v>144</v>
      </c>
      <c r="E94" s="187" t="str">
        <f ca="1">IF(INDIRECT("'SGO #1(Tiered or Simple)'!B172")=0, " ",INDIRECT("'SGO #1(Tiered or Simple)'!B172"))</f>
        <v xml:space="preserve"> </v>
      </c>
      <c r="F94" s="187"/>
    </row>
    <row r="95" spans="1:6" x14ac:dyDescent="0.25">
      <c r="A95" s="114">
        <v>131</v>
      </c>
      <c r="B95" s="189" t="str">
        <f ca="1">IF(INDIRECT("'SGO #1(Tiered or Simple)'!B159")=0, " ",INDIRECT("'SGO #1(Tiered or Simple)'!B159"))</f>
        <v xml:space="preserve"> </v>
      </c>
      <c r="C95" s="189"/>
      <c r="D95" s="114">
        <v>145</v>
      </c>
      <c r="E95" s="187" t="str">
        <f ca="1">IF(INDIRECT("'SGO #1(Tiered or Simple)'!B173")=0, " ",INDIRECT("'SGO #1(Tiered or Simple)'!B173"))</f>
        <v xml:space="preserve"> </v>
      </c>
      <c r="F95" s="187"/>
    </row>
    <row r="96" spans="1:6" x14ac:dyDescent="0.25">
      <c r="A96" s="114">
        <v>132</v>
      </c>
      <c r="B96" s="189" t="str">
        <f ca="1">IF(INDIRECT("'SGO #1(Tiered or Simple)'!B160")=0, " ",INDIRECT("'SGO #1(Tiered or Simple)'!B160"))</f>
        <v xml:space="preserve"> </v>
      </c>
      <c r="C96" s="189"/>
      <c r="D96" s="114">
        <v>146</v>
      </c>
      <c r="E96" s="187" t="str">
        <f ca="1">IF(INDIRECT("'SGO #1(Tiered or Simple)'!B174")=0, " ",INDIRECT("'SGO #1(Tiered or Simple)'!B174"))</f>
        <v xml:space="preserve"> </v>
      </c>
      <c r="F96" s="187"/>
    </row>
    <row r="97" spans="1:6" x14ac:dyDescent="0.25">
      <c r="A97" s="114">
        <v>133</v>
      </c>
      <c r="B97" s="189" t="str">
        <f ca="1">IF(INDIRECT("'SGO #1(Tiered or Simple)'!B161")=0, " ",INDIRECT("'SGO #1(Tiered or Simple)'!B161"))</f>
        <v xml:space="preserve"> </v>
      </c>
      <c r="C97" s="189"/>
      <c r="D97" s="114">
        <v>147</v>
      </c>
      <c r="E97" s="187" t="str">
        <f ca="1">IF(INDIRECT("'SGO #1(Tiered or Simple)'!B175")=0, " ",INDIRECT("'SGO #1(Tiered or Simple)'!B175"))</f>
        <v xml:space="preserve"> </v>
      </c>
      <c r="F97" s="187"/>
    </row>
    <row r="98" spans="1:6" x14ac:dyDescent="0.25">
      <c r="A98" s="114">
        <v>134</v>
      </c>
      <c r="B98" s="189" t="str">
        <f ca="1">IF(INDIRECT("'SGO #1(Tiered or Simple)'!B162")=0, " ",INDIRECT("'SGO #1(Tiered or Simple)'!B162"))</f>
        <v xml:space="preserve"> </v>
      </c>
      <c r="C98" s="189"/>
      <c r="D98" s="114">
        <v>148</v>
      </c>
      <c r="E98" s="187" t="str">
        <f ca="1">IF(INDIRECT("'SGO #1(Tiered or Simple)'!B176")=0, " ",INDIRECT("'SGO #1(Tiered or Simple)'!B176"))</f>
        <v xml:space="preserve"> </v>
      </c>
      <c r="F98" s="187"/>
    </row>
    <row r="99" spans="1:6" x14ac:dyDescent="0.25">
      <c r="A99" s="114">
        <v>135</v>
      </c>
      <c r="B99" s="189" t="str">
        <f ca="1">IF(INDIRECT("'SGO #1(Tiered or Simple)'!B163")=0, " ",INDIRECT("'SGO #1(Tiered or Simple)'!B163"))</f>
        <v xml:space="preserve"> </v>
      </c>
      <c r="C99" s="189"/>
      <c r="D99" s="114">
        <v>149</v>
      </c>
      <c r="E99" s="187" t="str">
        <f ca="1">IF(INDIRECT("'SGO #1(Tiered or Simple)'!B177")=0, " ",INDIRECT("'SGO #1(Tiered or Simple)'!B177"))</f>
        <v xml:space="preserve"> </v>
      </c>
      <c r="F99" s="187"/>
    </row>
    <row r="100" spans="1:6" x14ac:dyDescent="0.25">
      <c r="A100" s="114">
        <v>136</v>
      </c>
      <c r="B100" s="189" t="str">
        <f ca="1">IF(INDIRECT("'SGO #1(Tiered or Simple)'!B164")=0, " ",INDIRECT("'SGO #1(Tiered or Simple)'!B164"))</f>
        <v xml:space="preserve"> </v>
      </c>
      <c r="C100" s="189"/>
      <c r="D100" s="114">
        <v>150</v>
      </c>
      <c r="E100" s="187" t="str">
        <f ca="1">IF(INDIRECT("'SGO #1(Tiered or Simple)'!B178")=0, " ",INDIRECT("'SGO #1(Tiered or Simple)'!B178"))</f>
        <v xml:space="preserve"> </v>
      </c>
      <c r="F100" s="187"/>
    </row>
    <row r="101" spans="1:6" x14ac:dyDescent="0.25">
      <c r="A101" s="114">
        <v>137</v>
      </c>
      <c r="B101" s="189" t="str">
        <f ca="1">IF(INDIRECT("'SGO #1(Tiered or Simple)'!B165")=0, " ",INDIRECT("'SGO #1(Tiered or Simple)'!B165"))</f>
        <v xml:space="preserve"> </v>
      </c>
      <c r="C101" s="189"/>
      <c r="D101" s="114"/>
      <c r="E101" s="187"/>
      <c r="F101" s="187"/>
    </row>
    <row r="102" spans="1:6" ht="15.75" thickBot="1" x14ac:dyDescent="0.3">
      <c r="A102" s="114">
        <v>138</v>
      </c>
      <c r="B102" s="189" t="str">
        <f ca="1">IF(INDIRECT("'SGO #1(Tiered or Simple)'!B166")=0, " ",INDIRECT("'SGO #1(Tiered or Simple)'!B166"))</f>
        <v xml:space="preserve"> </v>
      </c>
      <c r="C102" s="189"/>
      <c r="D102" s="114"/>
      <c r="E102" s="187"/>
      <c r="F102" s="187"/>
    </row>
    <row r="103" spans="1:6" ht="15.75" thickBot="1" x14ac:dyDescent="0.3">
      <c r="A103" s="190" t="s">
        <v>201</v>
      </c>
      <c r="B103" s="191"/>
      <c r="C103" s="191"/>
      <c r="D103" s="191"/>
      <c r="E103" s="191"/>
      <c r="F103" s="192"/>
    </row>
    <row r="104" spans="1:6" ht="15.75" thickBot="1" x14ac:dyDescent="0.3">
      <c r="A104" s="193" t="s">
        <v>29</v>
      </c>
      <c r="B104" s="194"/>
      <c r="C104" s="194"/>
      <c r="D104" s="194"/>
      <c r="E104" s="194"/>
      <c r="F104" s="195"/>
    </row>
    <row r="105" spans="1:6" x14ac:dyDescent="0.25">
      <c r="A105">
        <v>1</v>
      </c>
      <c r="B105" s="189" t="str">
        <f ca="1">IF(INDIRECT("'SGO #1(Tiered or Simple)'!B181")=0, " ",INDIRECT("'SGO #1(Tiered or Simple)'!B181"))</f>
        <v xml:space="preserve"> </v>
      </c>
      <c r="C105" s="189"/>
      <c r="D105">
        <v>31</v>
      </c>
      <c r="E105" s="187" t="str">
        <f ca="1">IF(INDIRECT("'SGO #1(Tiered or Simple)'!B211")=0, " ",INDIRECT("'SGO #1(Tiered or Simple)'!B211"))</f>
        <v xml:space="preserve"> </v>
      </c>
      <c r="F105" s="187"/>
    </row>
    <row r="106" spans="1:6" x14ac:dyDescent="0.25">
      <c r="A106">
        <v>2</v>
      </c>
      <c r="B106" s="189" t="str">
        <f ca="1">IF(INDIRECT("'SGO #1(Tiered or Simple)'!B182")=0, " ",INDIRECT("'SGO #1(Tiered or Simple)'!B182"))</f>
        <v xml:space="preserve"> </v>
      </c>
      <c r="C106" s="189"/>
      <c r="D106">
        <v>32</v>
      </c>
      <c r="E106" s="187" t="str">
        <f ca="1">IF(INDIRECT("'SGO #1(Tiered or Simple)'!B212")=0, " ",INDIRECT("'SGO #1(Tiered or Simple)'!B212"))</f>
        <v xml:space="preserve"> </v>
      </c>
      <c r="F106" s="187"/>
    </row>
    <row r="107" spans="1:6" x14ac:dyDescent="0.25">
      <c r="A107">
        <v>3</v>
      </c>
      <c r="B107" s="189" t="str">
        <f ca="1">IF(INDIRECT("'SGO #1(Tiered or Simple)'!B183")=0, " ",INDIRECT("'SGO #1(Tiered or Simple)'!B183"))</f>
        <v xml:space="preserve"> </v>
      </c>
      <c r="C107" s="189"/>
      <c r="D107">
        <v>33</v>
      </c>
      <c r="E107" s="187" t="str">
        <f ca="1">IF(INDIRECT("'SGO #1(Tiered or Simple)'!B213")=0, " ",INDIRECT("'SGO #1(Tiered or Simple)'!B213"))</f>
        <v xml:space="preserve"> </v>
      </c>
      <c r="F107" s="187"/>
    </row>
    <row r="108" spans="1:6" x14ac:dyDescent="0.25">
      <c r="A108">
        <v>4</v>
      </c>
      <c r="B108" s="189" t="str">
        <f ca="1">IF(INDIRECT("'SGO #1(Tiered or Simple)'!B184")=0, " ",INDIRECT("'SGO #1(Tiered or Simple)'!B184"))</f>
        <v xml:space="preserve"> </v>
      </c>
      <c r="C108" s="189"/>
      <c r="D108">
        <v>34</v>
      </c>
      <c r="E108" s="187" t="str">
        <f ca="1">IF(INDIRECT("'SGO #1(Tiered or Simple)'!B214")=0, " ",INDIRECT("'SGO #1(Tiered or Simple)'!B214"))</f>
        <v xml:space="preserve"> </v>
      </c>
      <c r="F108" s="187"/>
    </row>
    <row r="109" spans="1:6" x14ac:dyDescent="0.25">
      <c r="A109">
        <v>5</v>
      </c>
      <c r="B109" s="189" t="str">
        <f ca="1">IF(INDIRECT("'SGO #1(Tiered or Simple)'!B185")=0, " ",INDIRECT("'SGO #1(Tiered or Simple)'!B185"))</f>
        <v xml:space="preserve"> </v>
      </c>
      <c r="C109" s="189"/>
      <c r="D109">
        <v>35</v>
      </c>
      <c r="E109" s="187" t="str">
        <f ca="1">IF(INDIRECT("'SGO #1(Tiered or Simple)'!B215")=0, " ",INDIRECT("'SGO #1(Tiered or Simple)'!B215"))</f>
        <v xml:space="preserve"> </v>
      </c>
      <c r="F109" s="187"/>
    </row>
    <row r="110" spans="1:6" x14ac:dyDescent="0.25">
      <c r="A110">
        <v>6</v>
      </c>
      <c r="B110" s="189" t="str">
        <f ca="1">IF(INDIRECT("'SGO #1(Tiered or Simple)'!B186")=0, " ",INDIRECT("'SGO #1(Tiered or Simple)'!B186"))</f>
        <v xml:space="preserve"> </v>
      </c>
      <c r="C110" s="189"/>
      <c r="D110">
        <v>36</v>
      </c>
      <c r="E110" s="187" t="str">
        <f ca="1">IF(INDIRECT("'SGO #1(Tiered or Simple)'!B216")=0, " ",INDIRECT("'SGO #1(Tiered or Simple)'!B216"))</f>
        <v xml:space="preserve"> </v>
      </c>
      <c r="F110" s="187"/>
    </row>
    <row r="111" spans="1:6" x14ac:dyDescent="0.25">
      <c r="A111">
        <v>7</v>
      </c>
      <c r="B111" s="189" t="str">
        <f ca="1">IF(INDIRECT("'SGO #1(Tiered or Simple)'!B187")=0, " ",INDIRECT("'SGO #1(Tiered or Simple)'!B187"))</f>
        <v xml:space="preserve"> </v>
      </c>
      <c r="C111" s="189"/>
      <c r="D111">
        <v>37</v>
      </c>
      <c r="E111" s="187" t="str">
        <f ca="1">IF(INDIRECT("'SGO #1(Tiered or Simple)'!B217")=0, " ",INDIRECT("'SGO #1(Tiered or Simple)'!B217"))</f>
        <v xml:space="preserve"> </v>
      </c>
      <c r="F111" s="187"/>
    </row>
    <row r="112" spans="1:6" x14ac:dyDescent="0.25">
      <c r="A112">
        <v>8</v>
      </c>
      <c r="B112" s="189" t="str">
        <f ca="1">IF(INDIRECT("'SGO #1(Tiered or Simple)'!B188")=0, " ",INDIRECT("'SGO #1(Tiered or Simple)'!B188"))</f>
        <v xml:space="preserve"> </v>
      </c>
      <c r="C112" s="189"/>
      <c r="D112">
        <v>38</v>
      </c>
      <c r="E112" s="187" t="str">
        <f ca="1">IF(INDIRECT("'SGO #1(Tiered or Simple)'!B218")=0, " ",INDIRECT("'SGO #1(Tiered or Simple)'!B218"))</f>
        <v xml:space="preserve"> </v>
      </c>
      <c r="F112" s="187"/>
    </row>
    <row r="113" spans="1:6" x14ac:dyDescent="0.25">
      <c r="A113">
        <v>9</v>
      </c>
      <c r="B113" s="189" t="str">
        <f ca="1">IF(INDIRECT("'SGO #1(Tiered or Simple)'!B189")=0, " ",INDIRECT("'SGO #1(Tiered or Simple)'!B189"))</f>
        <v xml:space="preserve"> </v>
      </c>
      <c r="C113" s="189"/>
      <c r="D113">
        <v>39</v>
      </c>
      <c r="E113" s="187" t="str">
        <f ca="1">IF(INDIRECT("'SGO #1(Tiered or Simple)'!B219")=0, " ",INDIRECT("'SGO #1(Tiered or Simple)'!B219"))</f>
        <v xml:space="preserve"> </v>
      </c>
      <c r="F113" s="187"/>
    </row>
    <row r="114" spans="1:6" x14ac:dyDescent="0.25">
      <c r="A114">
        <v>10</v>
      </c>
      <c r="B114" s="189" t="str">
        <f ca="1">IF(INDIRECT("'SGO #1(Tiered or Simple)'!B190")=0, " ",INDIRECT("'SGO #1(Tiered or Simple)'!B190"))</f>
        <v xml:space="preserve"> </v>
      </c>
      <c r="C114" s="189"/>
      <c r="D114">
        <v>40</v>
      </c>
      <c r="E114" s="187" t="str">
        <f ca="1">IF(INDIRECT("'SGO #1(Tiered or Simple)'!B220")=0, " ",INDIRECT("'SGO #1(Tiered or Simple)'!B220"))</f>
        <v xml:space="preserve"> </v>
      </c>
      <c r="F114" s="187"/>
    </row>
    <row r="115" spans="1:6" x14ac:dyDescent="0.25">
      <c r="A115">
        <v>11</v>
      </c>
      <c r="B115" s="189" t="str">
        <f ca="1">IF(INDIRECT("'SGO #1(Tiered or Simple)'!B191")=0, " ",INDIRECT("'SGO #1(Tiered or Simple)'!B191"))</f>
        <v xml:space="preserve"> </v>
      </c>
      <c r="C115" s="189"/>
      <c r="D115">
        <v>41</v>
      </c>
      <c r="E115" s="187" t="str">
        <f ca="1">IF(INDIRECT("'SGO #1(Tiered or Simple)'!B221")=0, " ",INDIRECT("'SGO #1(Tiered or Simple)'!B221"))</f>
        <v xml:space="preserve"> </v>
      </c>
      <c r="F115" s="187"/>
    </row>
    <row r="116" spans="1:6" x14ac:dyDescent="0.25">
      <c r="A116">
        <v>12</v>
      </c>
      <c r="B116" s="189" t="str">
        <f ca="1">IF(INDIRECT("'SGO #1(Tiered or Simple)'!B192")=0, " ",INDIRECT("'SGO #1(Tiered or Simple)'!B192"))</f>
        <v xml:space="preserve"> </v>
      </c>
      <c r="C116" s="189"/>
      <c r="D116">
        <v>42</v>
      </c>
      <c r="E116" s="187" t="str">
        <f ca="1">IF(INDIRECT("'SGO #1(Tiered or Simple)'!B222")=0, " ",INDIRECT("'SGO #1(Tiered or Simple)'!B222"))</f>
        <v xml:space="preserve"> </v>
      </c>
      <c r="F116" s="187"/>
    </row>
    <row r="117" spans="1:6" x14ac:dyDescent="0.25">
      <c r="A117">
        <v>13</v>
      </c>
      <c r="B117" s="189" t="str">
        <f ca="1">IF(INDIRECT("'SGO #1(Tiered or Simple)'!B193")=0, " ",INDIRECT("'SGO #1(Tiered or Simple)'!B193"))</f>
        <v xml:space="preserve"> </v>
      </c>
      <c r="C117" s="189"/>
      <c r="D117">
        <v>43</v>
      </c>
      <c r="E117" s="187" t="str">
        <f ca="1">IF(INDIRECT("'SGO #1(Tiered or Simple)'!B223")=0, " ",INDIRECT("'SGO #1(Tiered or Simple)'!B223"))</f>
        <v xml:space="preserve"> </v>
      </c>
      <c r="F117" s="187"/>
    </row>
    <row r="118" spans="1:6" x14ac:dyDescent="0.25">
      <c r="A118">
        <v>14</v>
      </c>
      <c r="B118" s="189" t="str">
        <f ca="1">IF(INDIRECT("'SGO #1(Tiered or Simple)'!B194")=0, " ",INDIRECT("'SGO #1(Tiered or Simple)'!B194"))</f>
        <v xml:space="preserve"> </v>
      </c>
      <c r="C118" s="189"/>
      <c r="D118">
        <v>44</v>
      </c>
      <c r="E118" s="187" t="str">
        <f ca="1">IF(INDIRECT("'SGO #1(Tiered or Simple)'!B224")=0, " ",INDIRECT("'SGO #1(Tiered or Simple)'!B224"))</f>
        <v xml:space="preserve"> </v>
      </c>
      <c r="F118" s="187"/>
    </row>
    <row r="119" spans="1:6" x14ac:dyDescent="0.25">
      <c r="A119">
        <v>15</v>
      </c>
      <c r="B119" s="189" t="str">
        <f ca="1">IF(INDIRECT("'SGO #1(Tiered or Simple)'!B195")=0, " ",INDIRECT("'SGO #1(Tiered or Simple)'!B195"))</f>
        <v xml:space="preserve"> </v>
      </c>
      <c r="C119" s="189"/>
      <c r="D119">
        <v>45</v>
      </c>
      <c r="E119" s="187" t="str">
        <f ca="1">IF(INDIRECT("'SGO #1(Tiered or Simple)'!B225")=0, " ",INDIRECT("'SGO #1(Tiered or Simple)'!B225"))</f>
        <v xml:space="preserve"> </v>
      </c>
      <c r="F119" s="187"/>
    </row>
    <row r="120" spans="1:6" x14ac:dyDescent="0.25">
      <c r="A120">
        <v>16</v>
      </c>
      <c r="B120" s="189" t="str">
        <f ca="1">IF(INDIRECT("'SGO #1(Tiered or Simple)'!B196")=0, " ",INDIRECT("'SGO #1(Tiered or Simple)'!B196"))</f>
        <v xml:space="preserve"> </v>
      </c>
      <c r="C120" s="189"/>
      <c r="D120">
        <v>46</v>
      </c>
      <c r="E120" s="187" t="str">
        <f ca="1">IF(INDIRECT("'SGO #1(Tiered or Simple)'!B226")=0, " ",INDIRECT("'SGO #1(Tiered or Simple)'!B226"))</f>
        <v xml:space="preserve"> </v>
      </c>
      <c r="F120" s="187"/>
    </row>
    <row r="121" spans="1:6" x14ac:dyDescent="0.25">
      <c r="A121">
        <v>17</v>
      </c>
      <c r="B121" s="189" t="str">
        <f ca="1">IF(INDIRECT("'SGO #1(Tiered or Simple)'!B197")=0, " ",INDIRECT("'SGO #1(Tiered or Simple)'!B197"))</f>
        <v xml:space="preserve"> </v>
      </c>
      <c r="C121" s="189"/>
      <c r="D121">
        <v>47</v>
      </c>
      <c r="E121" s="187" t="str">
        <f ca="1">IF(INDIRECT("'SGO #1(Tiered or Simple)'!B227")=0, " ",INDIRECT("'SGO #1(Tiered or Simple)'!B227"))</f>
        <v xml:space="preserve"> </v>
      </c>
      <c r="F121" s="187"/>
    </row>
    <row r="122" spans="1:6" x14ac:dyDescent="0.25">
      <c r="A122">
        <v>18</v>
      </c>
      <c r="B122" s="189" t="str">
        <f ca="1">IF(INDIRECT("'SGO #1(Tiered or Simple)'!B198")=0, " ",INDIRECT("'SGO #1(Tiered or Simple)'!B198"))</f>
        <v xml:space="preserve"> </v>
      </c>
      <c r="C122" s="189"/>
      <c r="D122">
        <v>48</v>
      </c>
      <c r="E122" s="187" t="str">
        <f ca="1">IF(INDIRECT("'SGO #1(Tiered or Simple)'!B228")=0, " ",INDIRECT("'SGO #1(Tiered or Simple)'!B228"))</f>
        <v xml:space="preserve"> </v>
      </c>
      <c r="F122" s="187"/>
    </row>
    <row r="123" spans="1:6" x14ac:dyDescent="0.25">
      <c r="A123">
        <v>19</v>
      </c>
      <c r="B123" s="189" t="str">
        <f ca="1">IF(INDIRECT("'SGO #1(Tiered or Simple)'!B199")=0, " ",INDIRECT("'SGO #1(Tiered or Simple)'!B199"))</f>
        <v xml:space="preserve"> </v>
      </c>
      <c r="C123" s="189"/>
      <c r="D123">
        <v>49</v>
      </c>
      <c r="E123" s="187" t="str">
        <f ca="1">IF(INDIRECT("'SGO #1(Tiered or Simple)'!B229")=0, " ",INDIRECT("'SGO #1(Tiered or Simple)'!B229"))</f>
        <v xml:space="preserve"> </v>
      </c>
      <c r="F123" s="187"/>
    </row>
    <row r="124" spans="1:6" x14ac:dyDescent="0.25">
      <c r="A124">
        <v>20</v>
      </c>
      <c r="B124" s="189" t="str">
        <f ca="1">IF(INDIRECT("'SGO #1(Tiered or Simple)'!B200")=0, " ",INDIRECT("'SGO #1(Tiered or Simple)'!B200"))</f>
        <v xml:space="preserve"> </v>
      </c>
      <c r="C124" s="189"/>
      <c r="D124">
        <v>50</v>
      </c>
      <c r="E124" s="187" t="str">
        <f ca="1">IF(INDIRECT("'SGO #1(Tiered or Simple)'!B230")=0, " ",INDIRECT("'SGO #1(Tiered or Simple)'!B230"))</f>
        <v xml:space="preserve"> </v>
      </c>
      <c r="F124" s="187"/>
    </row>
    <row r="125" spans="1:6" x14ac:dyDescent="0.25">
      <c r="A125">
        <v>21</v>
      </c>
      <c r="B125" s="189" t="str">
        <f ca="1">IF(INDIRECT("'SGO #1(Tiered or Simple)'!B201")=0, " ",INDIRECT("'SGO #1(Tiered or Simple)'!B201"))</f>
        <v xml:space="preserve"> </v>
      </c>
      <c r="C125" s="189"/>
      <c r="D125">
        <v>51</v>
      </c>
      <c r="E125" s="187" t="str">
        <f ca="1">IF(INDIRECT("'SGO #1(Tiered or Simple)'!B231")=0, " ",INDIRECT("'SGO #1(Tiered or Simple)'!B231"))</f>
        <v xml:space="preserve"> </v>
      </c>
      <c r="F125" s="187"/>
    </row>
    <row r="126" spans="1:6" x14ac:dyDescent="0.25">
      <c r="A126">
        <v>22</v>
      </c>
      <c r="B126" s="189" t="str">
        <f ca="1">IF(INDIRECT("'SGO #1(Tiered or Simple)'!B202")=0, " ",INDIRECT("'SGO #1(Tiered or Simple)'!B202"))</f>
        <v xml:space="preserve"> </v>
      </c>
      <c r="C126" s="189"/>
      <c r="D126">
        <v>52</v>
      </c>
      <c r="E126" s="187" t="str">
        <f ca="1">IF(INDIRECT("'SGO #1(Tiered or Simple)'!B232")=0, " ",INDIRECT("'SGO #1(Tiered or Simple)'!B232"))</f>
        <v xml:space="preserve"> </v>
      </c>
      <c r="F126" s="187"/>
    </row>
    <row r="127" spans="1:6" x14ac:dyDescent="0.25">
      <c r="A127">
        <v>23</v>
      </c>
      <c r="B127" s="189" t="str">
        <f ca="1">IF(INDIRECT("'SGO #1(Tiered or Simple)'!B203")=0, " ",INDIRECT("'SGO #1(Tiered or Simple)'!B203"))</f>
        <v xml:space="preserve"> </v>
      </c>
      <c r="C127" s="189"/>
      <c r="D127">
        <v>53</v>
      </c>
      <c r="E127" s="187" t="str">
        <f ca="1">IF(INDIRECT("'SGO #1(Tiered or Simple)'!B233")=0, " ",INDIRECT("'SGO #1(Tiered or Simple)'!B233"))</f>
        <v xml:space="preserve"> </v>
      </c>
      <c r="F127" s="187"/>
    </row>
    <row r="128" spans="1:6" x14ac:dyDescent="0.25">
      <c r="A128">
        <v>24</v>
      </c>
      <c r="B128" s="189" t="str">
        <f ca="1">IF(INDIRECT("'SGO #1(Tiered or Simple)'!B204")=0, " ",INDIRECT("'SGO #1(Tiered or Simple)'!B204"))</f>
        <v xml:space="preserve"> </v>
      </c>
      <c r="C128" s="189"/>
      <c r="D128">
        <v>54</v>
      </c>
      <c r="E128" s="187" t="str">
        <f ca="1">IF(INDIRECT("'SGO #1(Tiered or Simple)'!B234")=0, " ",INDIRECT("'SGO #1(Tiered or Simple)'!B234"))</f>
        <v xml:space="preserve"> </v>
      </c>
      <c r="F128" s="187"/>
    </row>
    <row r="129" spans="1:6" x14ac:dyDescent="0.25">
      <c r="A129">
        <v>25</v>
      </c>
      <c r="B129" s="189" t="str">
        <f ca="1">IF(INDIRECT("'SGO #1(Tiered or Simple)'!B205")=0, " ",INDIRECT("'SGO #1(Tiered or Simple)'!B205"))</f>
        <v xml:space="preserve"> </v>
      </c>
      <c r="C129" s="189"/>
      <c r="D129">
        <v>55</v>
      </c>
      <c r="E129" s="187" t="str">
        <f ca="1">IF(INDIRECT("'SGO #1(Tiered or Simple)'!B235")=0, " ",INDIRECT("'SGO #1(Tiered or Simple)'!B235"))</f>
        <v xml:space="preserve"> </v>
      </c>
      <c r="F129" s="187"/>
    </row>
    <row r="130" spans="1:6" x14ac:dyDescent="0.25">
      <c r="A130">
        <v>26</v>
      </c>
      <c r="B130" s="189" t="str">
        <f ca="1">IF(INDIRECT("'SGO #1(Tiered or Simple)'!B206")=0, " ",INDIRECT("'SGO #1(Tiered or Simple)'!B206"))</f>
        <v xml:space="preserve"> </v>
      </c>
      <c r="C130" s="189"/>
      <c r="D130">
        <v>56</v>
      </c>
      <c r="E130" s="187" t="str">
        <f ca="1">IF(INDIRECT("'SGO #1(Tiered or Simple)'!B236")=0, " ",INDIRECT("'SGO #1(Tiered or Simple)'!B236"))</f>
        <v xml:space="preserve"> </v>
      </c>
      <c r="F130" s="187"/>
    </row>
    <row r="131" spans="1:6" x14ac:dyDescent="0.25">
      <c r="A131">
        <v>27</v>
      </c>
      <c r="B131" s="189" t="str">
        <f ca="1">IF(INDIRECT("'SGO #1(Tiered or Simple)'!B207")=0, " ",INDIRECT("'SGO #1(Tiered or Simple)'!B207"))</f>
        <v xml:space="preserve"> </v>
      </c>
      <c r="C131" s="189"/>
      <c r="D131">
        <v>57</v>
      </c>
      <c r="E131" s="187" t="str">
        <f ca="1">IF(INDIRECT("'SGO #1(Tiered or Simple)'!B237")=0, " ",INDIRECT("'SGO #1(Tiered or Simple)'!B237"))</f>
        <v xml:space="preserve"> </v>
      </c>
      <c r="F131" s="187"/>
    </row>
    <row r="132" spans="1:6" x14ac:dyDescent="0.25">
      <c r="A132">
        <v>28</v>
      </c>
      <c r="B132" s="189" t="str">
        <f ca="1">IF(INDIRECT("'SGO #1(Tiered or Simple)'!B208")=0, " ",INDIRECT("'SGO #1(Tiered or Simple)'!B208"))</f>
        <v xml:space="preserve"> </v>
      </c>
      <c r="C132" s="189"/>
      <c r="D132">
        <v>58</v>
      </c>
      <c r="E132" s="187" t="str">
        <f ca="1">IF(INDIRECT("'SGO #1(Tiered or Simple)'!B238")=0, " ",INDIRECT("'SGO #1(Tiered or Simple)'!B238"))</f>
        <v xml:space="preserve"> </v>
      </c>
      <c r="F132" s="187"/>
    </row>
    <row r="133" spans="1:6" x14ac:dyDescent="0.25">
      <c r="A133">
        <v>29</v>
      </c>
      <c r="B133" s="189" t="str">
        <f ca="1">IF(INDIRECT("'SGO #1(Tiered or Simple)'!B209")=0, " ",INDIRECT("'SGO #1(Tiered or Simple)'!B209"))</f>
        <v xml:space="preserve"> </v>
      </c>
      <c r="C133" s="189"/>
      <c r="D133">
        <v>59</v>
      </c>
      <c r="E133" s="187" t="str">
        <f ca="1">IF(INDIRECT("'SGO #1(Tiered or Simple)'!B239")=0, " ",INDIRECT("'SGO #1(Tiered or Simple)'!B239"))</f>
        <v xml:space="preserve"> </v>
      </c>
      <c r="F133" s="187"/>
    </row>
    <row r="134" spans="1:6" x14ac:dyDescent="0.25">
      <c r="A134">
        <v>30</v>
      </c>
      <c r="B134" s="189" t="str">
        <f ca="1">IF(INDIRECT("'SGO #1(Tiered or Simple)'!B210")=0, " ",INDIRECT("'SGO #1(Tiered or Simple)'!B210"))</f>
        <v xml:space="preserve"> </v>
      </c>
      <c r="C134" s="189"/>
      <c r="D134">
        <v>60</v>
      </c>
      <c r="E134" s="187" t="str">
        <f ca="1">IF(INDIRECT("'SGO #1(Tiered or Simple)'!B240")=0, " ",INDIRECT("'SGO #1(Tiered or Simple)'!B240"))</f>
        <v xml:space="preserve"> </v>
      </c>
      <c r="F134" s="187"/>
    </row>
    <row r="135" spans="1:6" x14ac:dyDescent="0.25">
      <c r="A135">
        <v>61</v>
      </c>
      <c r="B135" s="189" t="str">
        <f ca="1">IF(INDIRECT("'SGO #1(Tiered or Simple)'!B241")=0, " ",INDIRECT("'SGO #1(Tiered or Simple)'!B241"))</f>
        <v xml:space="preserve"> </v>
      </c>
      <c r="C135" s="189"/>
      <c r="D135">
        <v>106</v>
      </c>
      <c r="E135" s="187" t="str">
        <f ca="1">IF(INDIRECT("'SGO #1(Tiered or Simple)'!B286")=0, " ",INDIRECT("'SGO #1(Tiered or Simple)'!B286"))</f>
        <v xml:space="preserve"> </v>
      </c>
      <c r="F135" s="187"/>
    </row>
    <row r="136" spans="1:6" x14ac:dyDescent="0.25">
      <c r="A136">
        <v>62</v>
      </c>
      <c r="B136" s="189" t="str">
        <f ca="1">IF(INDIRECT("'SGO #1(Tiered or Simple)'!B242")=0, " ",INDIRECT("'SGO #1(Tiered or Simple)'!B242"))</f>
        <v xml:space="preserve"> </v>
      </c>
      <c r="C136" s="189"/>
      <c r="D136">
        <v>107</v>
      </c>
      <c r="E136" s="187" t="str">
        <f ca="1">IF(INDIRECT("'SGO #1(Tiered or Simple)'!B287")=0, " ",INDIRECT("'SGO #1(Tiered or Simple)'!B287"))</f>
        <v xml:space="preserve"> </v>
      </c>
      <c r="F136" s="187"/>
    </row>
    <row r="137" spans="1:6" x14ac:dyDescent="0.25">
      <c r="A137">
        <v>63</v>
      </c>
      <c r="B137" s="189" t="str">
        <f ca="1">IF(INDIRECT("'SGO #1(Tiered or Simple)'!B243")=0, " ",INDIRECT("'SGO #1(Tiered or Simple)'!B243"))</f>
        <v xml:space="preserve"> </v>
      </c>
      <c r="C137" s="189"/>
      <c r="D137">
        <v>108</v>
      </c>
      <c r="E137" s="187" t="str">
        <f ca="1">IF(INDIRECT("'SGO #1(Tiered or Simple)'!B288")=0, " ",INDIRECT("'SGO #1(Tiered or Simple)'!B288"))</f>
        <v xml:space="preserve"> </v>
      </c>
      <c r="F137" s="187"/>
    </row>
    <row r="138" spans="1:6" x14ac:dyDescent="0.25">
      <c r="A138">
        <v>64</v>
      </c>
      <c r="B138" s="189" t="str">
        <f ca="1">IF(INDIRECT("'SGO #1(Tiered or Simple)'!B244")=0, " ",INDIRECT("'SGO #1(Tiered or Simple)'!B244"))</f>
        <v xml:space="preserve"> </v>
      </c>
      <c r="C138" s="189"/>
      <c r="D138">
        <v>109</v>
      </c>
      <c r="E138" s="187" t="str">
        <f ca="1">IF(INDIRECT("'SGO #1(Tiered or Simple)'!B289")=0, " ",INDIRECT("'SGO #1(Tiered or Simple)'!B289"))</f>
        <v xml:space="preserve"> </v>
      </c>
      <c r="F138" s="187"/>
    </row>
    <row r="139" spans="1:6" x14ac:dyDescent="0.25">
      <c r="A139">
        <v>65</v>
      </c>
      <c r="B139" s="189" t="str">
        <f ca="1">IF(INDIRECT("'SGO #1(Tiered or Simple)'!B245")=0, " ",INDIRECT("'SGO #1(Tiered or Simple)'!B245"))</f>
        <v xml:space="preserve"> </v>
      </c>
      <c r="C139" s="189"/>
      <c r="D139">
        <v>110</v>
      </c>
      <c r="E139" s="187" t="str">
        <f ca="1">IF(INDIRECT("'SGO #1(Tiered or Simple)'!B290")=0, " ",INDIRECT("'SGO #1(Tiered or Simple)'!B290"))</f>
        <v xml:space="preserve"> </v>
      </c>
      <c r="F139" s="187"/>
    </row>
    <row r="140" spans="1:6" x14ac:dyDescent="0.25">
      <c r="A140">
        <v>66</v>
      </c>
      <c r="B140" s="189" t="str">
        <f ca="1">IF(INDIRECT("'SGO #1(Tiered or Simple)'!B246")=0, " ",INDIRECT("'SGO #1(Tiered or Simple)'!B246"))</f>
        <v xml:space="preserve"> </v>
      </c>
      <c r="C140" s="189"/>
      <c r="D140">
        <v>111</v>
      </c>
      <c r="E140" s="187" t="str">
        <f ca="1">IF(INDIRECT("'SGO #1(Tiered or Simple)'!B291")=0, " ",INDIRECT("'SGO #1(Tiered or Simple)'!B291"))</f>
        <v xml:space="preserve"> </v>
      </c>
      <c r="F140" s="187"/>
    </row>
    <row r="141" spans="1:6" x14ac:dyDescent="0.25">
      <c r="A141">
        <v>67</v>
      </c>
      <c r="B141" s="189" t="str">
        <f ca="1">IF(INDIRECT("'SGO #1(Tiered or Simple)'!B247")=0, " ",INDIRECT("'SGO #1(Tiered or Simple)'!B247"))</f>
        <v xml:space="preserve"> </v>
      </c>
      <c r="C141" s="189"/>
      <c r="D141">
        <v>112</v>
      </c>
      <c r="E141" s="187" t="str">
        <f ca="1">IF(INDIRECT("'SGO #1(Tiered or Simple)'!B292")=0, " ",INDIRECT("'SGO #1(Tiered or Simple)'!B292"))</f>
        <v xml:space="preserve"> </v>
      </c>
      <c r="F141" s="187"/>
    </row>
    <row r="142" spans="1:6" x14ac:dyDescent="0.25">
      <c r="A142">
        <v>68</v>
      </c>
      <c r="B142" s="189" t="str">
        <f ca="1">IF(INDIRECT("'SGO #1(Tiered or Simple)'!B248")=0, " ",INDIRECT("'SGO #1(Tiered or Simple)'!B248"))</f>
        <v xml:space="preserve"> </v>
      </c>
      <c r="C142" s="189"/>
      <c r="D142">
        <v>113</v>
      </c>
      <c r="E142" s="187" t="str">
        <f ca="1">IF(INDIRECT("'SGO #1(Tiered or Simple)'!B293")=0, " ",INDIRECT("'SGO #1(Tiered or Simple)'!B293"))</f>
        <v xml:space="preserve"> </v>
      </c>
      <c r="F142" s="187"/>
    </row>
    <row r="143" spans="1:6" x14ac:dyDescent="0.25">
      <c r="A143">
        <v>69</v>
      </c>
      <c r="B143" s="189" t="str">
        <f ca="1">IF(INDIRECT("'SGO #1(Tiered or Simple)'!B249")=0, " ",INDIRECT("'SGO #1(Tiered or Simple)'!B249"))</f>
        <v xml:space="preserve"> </v>
      </c>
      <c r="C143" s="189"/>
      <c r="D143">
        <v>114</v>
      </c>
      <c r="E143" s="187" t="str">
        <f ca="1">IF(INDIRECT("'SGO #1(Tiered or Simple)'!B294")=0, " ",INDIRECT("'SGO #1(Tiered or Simple)'!B294"))</f>
        <v xml:space="preserve"> </v>
      </c>
      <c r="F143" s="187"/>
    </row>
    <row r="144" spans="1:6" x14ac:dyDescent="0.25">
      <c r="A144">
        <v>70</v>
      </c>
      <c r="B144" s="189" t="str">
        <f ca="1">IF(INDIRECT("'SGO #1(Tiered or Simple)'!B250")=0, " ",INDIRECT("'SGO #1(Tiered or Simple)'!B250"))</f>
        <v xml:space="preserve"> </v>
      </c>
      <c r="C144" s="189"/>
      <c r="D144">
        <v>115</v>
      </c>
      <c r="E144" s="187" t="str">
        <f ca="1">IF(INDIRECT("'SGO #1(Tiered or Simple)'!B295")=0, " ",INDIRECT("'SGO #1(Tiered or Simple)'!B295"))</f>
        <v xml:space="preserve"> </v>
      </c>
      <c r="F144" s="187"/>
    </row>
    <row r="145" spans="1:6" x14ac:dyDescent="0.25">
      <c r="A145">
        <v>71</v>
      </c>
      <c r="B145" s="189" t="str">
        <f ca="1">IF(INDIRECT("'SGO #1(Tiered or Simple)'!B251")=0, " ",INDIRECT("'SGO #1(Tiered or Simple)'!B251"))</f>
        <v xml:space="preserve"> </v>
      </c>
      <c r="C145" s="189"/>
      <c r="D145">
        <v>116</v>
      </c>
      <c r="E145" s="187" t="str">
        <f ca="1">IF(INDIRECT("'SGO #1(Tiered or Simple)'!B296")=0, " ",INDIRECT("'SGO #1(Tiered or Simple)'!B296"))</f>
        <v xml:space="preserve"> </v>
      </c>
      <c r="F145" s="187"/>
    </row>
    <row r="146" spans="1:6" x14ac:dyDescent="0.25">
      <c r="A146">
        <v>72</v>
      </c>
      <c r="B146" s="189" t="str">
        <f ca="1">IF(INDIRECT("'SGO #1(Tiered or Simple)'!B252")=0, " ",INDIRECT("'SGO #1(Tiered or Simple)'!B252"))</f>
        <v xml:space="preserve"> </v>
      </c>
      <c r="C146" s="189"/>
      <c r="D146">
        <v>117</v>
      </c>
      <c r="E146" s="187" t="str">
        <f ca="1">IF(INDIRECT("'SGO #1(Tiered or Simple)'!B297")=0, " ",INDIRECT("'SGO #1(Tiered or Simple)'!B297"))</f>
        <v xml:space="preserve"> </v>
      </c>
      <c r="F146" s="187"/>
    </row>
    <row r="147" spans="1:6" x14ac:dyDescent="0.25">
      <c r="A147">
        <v>73</v>
      </c>
      <c r="B147" s="189" t="str">
        <f ca="1">IF(INDIRECT("'SGO #1(Tiered or Simple)'!B253")=0, " ",INDIRECT("'SGO #1(Tiered or Simple)'!B253"))</f>
        <v xml:space="preserve"> </v>
      </c>
      <c r="C147" s="189"/>
      <c r="D147">
        <v>118</v>
      </c>
      <c r="E147" s="187" t="str">
        <f ca="1">IF(INDIRECT("'SGO #1(Tiered or Simple)'!B298")=0, " ",INDIRECT("'SGO #1(Tiered or Simple)'!B298"))</f>
        <v xml:space="preserve"> </v>
      </c>
      <c r="F147" s="187"/>
    </row>
    <row r="148" spans="1:6" x14ac:dyDescent="0.25">
      <c r="A148">
        <v>74</v>
      </c>
      <c r="B148" s="189" t="str">
        <f ca="1">IF(INDIRECT("'SGO #1(Tiered or Simple)'!B254")=0, " ",INDIRECT("'SGO #1(Tiered or Simple)'!B254"))</f>
        <v xml:space="preserve"> </v>
      </c>
      <c r="C148" s="189"/>
      <c r="D148">
        <v>119</v>
      </c>
      <c r="E148" s="187" t="str">
        <f ca="1">IF(INDIRECT("'SGO #1(Tiered or Simple)'!B299")=0, " ",INDIRECT("'SGO #1(Tiered or Simple)'!B299"))</f>
        <v xml:space="preserve"> </v>
      </c>
      <c r="F148" s="187"/>
    </row>
    <row r="149" spans="1:6" x14ac:dyDescent="0.25">
      <c r="A149">
        <v>75</v>
      </c>
      <c r="B149" s="189" t="str">
        <f ca="1">IF(INDIRECT("'SGO #1(Tiered or Simple)'!B255")=0, " ",INDIRECT("'SGO #1(Tiered or Simple)'!B255"))</f>
        <v xml:space="preserve"> </v>
      </c>
      <c r="C149" s="189"/>
      <c r="D149">
        <v>120</v>
      </c>
      <c r="E149" s="187" t="str">
        <f ca="1">IF(INDIRECT("'SGO #1(Tiered or Simple)'!B300")=0, " ",INDIRECT("'SGO #1(Tiered or Simple)'!B300"))</f>
        <v xml:space="preserve"> </v>
      </c>
      <c r="F149" s="187"/>
    </row>
    <row r="150" spans="1:6" x14ac:dyDescent="0.25">
      <c r="A150">
        <v>76</v>
      </c>
      <c r="B150" s="189" t="str">
        <f ca="1">IF(INDIRECT("'SGO #1(Tiered or Simple)'!B256")=0, " ",INDIRECT("'SGO #1(Tiered or Simple)'!B256"))</f>
        <v xml:space="preserve"> </v>
      </c>
      <c r="C150" s="189"/>
      <c r="D150">
        <v>121</v>
      </c>
      <c r="E150" s="187" t="str">
        <f ca="1">IF(INDIRECT("'SGO #1(Tiered or Simple)'!B301")=0, " ",INDIRECT("'SGO #1(Tiered or Simple)'!B301"))</f>
        <v xml:space="preserve"> </v>
      </c>
      <c r="F150" s="187"/>
    </row>
    <row r="151" spans="1:6" x14ac:dyDescent="0.25">
      <c r="A151">
        <v>77</v>
      </c>
      <c r="B151" s="189" t="str">
        <f ca="1">IF(INDIRECT("'SGO #1(Tiered or Simple)'!B257")=0, " ",INDIRECT("'SGO #1(Tiered or Simple)'!B257"))</f>
        <v xml:space="preserve"> </v>
      </c>
      <c r="C151" s="189"/>
      <c r="D151">
        <v>122</v>
      </c>
      <c r="E151" s="187" t="str">
        <f ca="1">IF(INDIRECT("'SGO #1(Tiered or Simple)'!B302")=0, " ",INDIRECT("'SGO #1(Tiered or Simple)'!B302"))</f>
        <v xml:space="preserve"> </v>
      </c>
      <c r="F151" s="187"/>
    </row>
    <row r="152" spans="1:6" x14ac:dyDescent="0.25">
      <c r="A152">
        <v>78</v>
      </c>
      <c r="B152" s="189" t="str">
        <f ca="1">IF(INDIRECT("'SGO #1(Tiered or Simple)'!B258")=0, " ",INDIRECT("'SGO #1(Tiered or Simple)'!B258"))</f>
        <v xml:space="preserve"> </v>
      </c>
      <c r="C152" s="189"/>
      <c r="D152">
        <v>123</v>
      </c>
      <c r="E152" s="187" t="str">
        <f ca="1">IF(INDIRECT("'SGO #1(Tiered or Simple)'!B303")=0, " ",INDIRECT("'SGO #1(Tiered or Simple)'!B303"))</f>
        <v xml:space="preserve"> </v>
      </c>
      <c r="F152" s="187"/>
    </row>
    <row r="153" spans="1:6" x14ac:dyDescent="0.25">
      <c r="A153">
        <v>79</v>
      </c>
      <c r="B153" s="189" t="str">
        <f ca="1">IF(INDIRECT("'SGO #1(Tiered or Simple)'!B259")=0, " ",INDIRECT("'SGO #1(Tiered or Simple)'!B259"))</f>
        <v xml:space="preserve"> </v>
      </c>
      <c r="C153" s="189"/>
      <c r="D153">
        <v>124</v>
      </c>
      <c r="E153" s="187" t="str">
        <f ca="1">IF(INDIRECT("'SGO #1(Tiered or Simple)'!B304")=0, " ",INDIRECT("'SGO #1(Tiered or Simple)'!B304"))</f>
        <v xml:space="preserve"> </v>
      </c>
      <c r="F153" s="187"/>
    </row>
    <row r="154" spans="1:6" x14ac:dyDescent="0.25">
      <c r="A154">
        <v>80</v>
      </c>
      <c r="B154" s="189" t="str">
        <f ca="1">IF(INDIRECT("'SGO #1(Tiered or Simple)'!B260")=0, " ",INDIRECT("'SGO #1(Tiered or Simple)'!B260"))</f>
        <v xml:space="preserve"> </v>
      </c>
      <c r="C154" s="189"/>
      <c r="D154">
        <v>125</v>
      </c>
      <c r="E154" s="187" t="str">
        <f ca="1">IF(INDIRECT("'SGO #1(Tiered or Simple)'!B305")=0, " ",INDIRECT("'SGO #1(Tiered or Simple)'!B305"))</f>
        <v xml:space="preserve"> </v>
      </c>
      <c r="F154" s="187"/>
    </row>
    <row r="155" spans="1:6" x14ac:dyDescent="0.25">
      <c r="A155">
        <v>81</v>
      </c>
      <c r="B155" s="189" t="str">
        <f ca="1">IF(INDIRECT("'SGO #1(Tiered or Simple)'!B261")=0, " ",INDIRECT("'SGO #1(Tiered or Simple)'!B261"))</f>
        <v xml:space="preserve"> </v>
      </c>
      <c r="C155" s="189"/>
      <c r="D155">
        <v>126</v>
      </c>
      <c r="E155" s="187" t="str">
        <f ca="1">IF(INDIRECT("'SGO #1(Tiered or Simple)'!B306")=0, " ",INDIRECT("'SGO #1(Tiered or Simple)'!B306"))</f>
        <v xml:space="preserve"> </v>
      </c>
      <c r="F155" s="187"/>
    </row>
    <row r="156" spans="1:6" x14ac:dyDescent="0.25">
      <c r="A156">
        <v>82</v>
      </c>
      <c r="B156" s="189" t="str">
        <f ca="1">IF(INDIRECT("'SGO #1(Tiered or Simple)'!B262")=0, " ",INDIRECT("'SGO #1(Tiered or Simple)'!B262"))</f>
        <v xml:space="preserve"> </v>
      </c>
      <c r="C156" s="189"/>
      <c r="D156">
        <v>127</v>
      </c>
      <c r="E156" s="187" t="str">
        <f ca="1">IF(INDIRECT("'SGO #1(Tiered or Simple)'!B307")=0, " ",INDIRECT("'SGO #1(Tiered or Simple)'!B307"))</f>
        <v xml:space="preserve"> </v>
      </c>
      <c r="F156" s="187"/>
    </row>
    <row r="157" spans="1:6" x14ac:dyDescent="0.25">
      <c r="A157">
        <v>83</v>
      </c>
      <c r="B157" s="189" t="str">
        <f ca="1">IF(INDIRECT("'SGO #1(Tiered or Simple)'!B263")=0, " ",INDIRECT("'SGO #1(Tiered or Simple)'!B263"))</f>
        <v xml:space="preserve"> </v>
      </c>
      <c r="C157" s="189"/>
      <c r="D157">
        <v>128</v>
      </c>
      <c r="E157" s="187" t="str">
        <f ca="1">IF(INDIRECT("'SGO #1(Tiered or Simple)'!B308")=0, " ",INDIRECT("'SGO #1(Tiered or Simple)'!B308"))</f>
        <v xml:space="preserve"> </v>
      </c>
      <c r="F157" s="187"/>
    </row>
    <row r="158" spans="1:6" x14ac:dyDescent="0.25">
      <c r="A158">
        <v>84</v>
      </c>
      <c r="B158" s="189" t="str">
        <f ca="1">IF(INDIRECT("'SGO #1(Tiered or Simple)'!B264")=0, " ",INDIRECT("'SGO #1(Tiered or Simple)'!B264"))</f>
        <v xml:space="preserve"> </v>
      </c>
      <c r="C158" s="189"/>
      <c r="D158">
        <v>129</v>
      </c>
      <c r="E158" s="187" t="str">
        <f ca="1">IF(INDIRECT("'SGO #1(Tiered or Simple)'!B309")=0, " ",INDIRECT("'SGO #1(Tiered or Simple)'!B309"))</f>
        <v xml:space="preserve"> </v>
      </c>
      <c r="F158" s="187"/>
    </row>
    <row r="159" spans="1:6" x14ac:dyDescent="0.25">
      <c r="A159">
        <v>85</v>
      </c>
      <c r="B159" s="189" t="str">
        <f ca="1">IF(INDIRECT("'SGO #1(Tiered or Simple)'!B265")=0, " ",INDIRECT("'SGO #1(Tiered or Simple)'!B265"))</f>
        <v xml:space="preserve"> </v>
      </c>
      <c r="C159" s="189"/>
      <c r="D159">
        <v>130</v>
      </c>
      <c r="E159" s="187" t="str">
        <f ca="1">IF(INDIRECT("'SGO #1(Tiered or Simple)'!B310")=0, " ",INDIRECT("'SGO #1(Tiered or Simple)'!B310"))</f>
        <v xml:space="preserve"> </v>
      </c>
      <c r="F159" s="187"/>
    </row>
    <row r="160" spans="1:6" x14ac:dyDescent="0.25">
      <c r="A160">
        <v>86</v>
      </c>
      <c r="B160" s="189" t="str">
        <f ca="1">IF(INDIRECT("'SGO #1(Tiered or Simple)'!B266")=0, " ",INDIRECT("'SGO #1(Tiered or Simple)'!B266"))</f>
        <v xml:space="preserve"> </v>
      </c>
      <c r="C160" s="189"/>
      <c r="D160">
        <v>131</v>
      </c>
      <c r="E160" s="187" t="str">
        <f ca="1">IF(INDIRECT("'SGO #1(Tiered or Simple)'!B311")=0, " ",INDIRECT("'SGO #1(Tiered or Simple)'!B311"))</f>
        <v xml:space="preserve"> </v>
      </c>
      <c r="F160" s="187"/>
    </row>
    <row r="161" spans="1:6" x14ac:dyDescent="0.25">
      <c r="A161">
        <v>87</v>
      </c>
      <c r="B161" s="189" t="str">
        <f ca="1">IF(INDIRECT("'SGO #1(Tiered or Simple)'!B267")=0, " ",INDIRECT("'SGO #1(Tiered or Simple)'!B267"))</f>
        <v xml:space="preserve"> </v>
      </c>
      <c r="C161" s="189"/>
      <c r="D161">
        <v>132</v>
      </c>
      <c r="E161" s="187" t="str">
        <f ca="1">IF(INDIRECT("'SGO #1(Tiered or Simple)'!B312")=0, " ",INDIRECT("'SGO #1(Tiered or Simple)'!B312"))</f>
        <v xml:space="preserve"> </v>
      </c>
      <c r="F161" s="187"/>
    </row>
    <row r="162" spans="1:6" x14ac:dyDescent="0.25">
      <c r="A162">
        <v>88</v>
      </c>
      <c r="B162" s="189" t="str">
        <f ca="1">IF(INDIRECT("'SGO #1(Tiered or Simple)'!B268")=0, " ",INDIRECT("'SGO #1(Tiered or Simple)'!B268"))</f>
        <v xml:space="preserve"> </v>
      </c>
      <c r="C162" s="189"/>
      <c r="D162">
        <v>133</v>
      </c>
      <c r="E162" s="187" t="str">
        <f ca="1">IF(INDIRECT("'SGO #1(Tiered or Simple)'!B313")=0, " ",INDIRECT("'SGO #1(Tiered or Simple)'!B313"))</f>
        <v xml:space="preserve"> </v>
      </c>
      <c r="F162" s="187"/>
    </row>
    <row r="163" spans="1:6" x14ac:dyDescent="0.25">
      <c r="A163">
        <v>89</v>
      </c>
      <c r="B163" s="189" t="str">
        <f ca="1">IF(INDIRECT("'SGO #1(Tiered or Simple)'!B269")=0, " ",INDIRECT("'SGO #1(Tiered or Simple)'!B269"))</f>
        <v xml:space="preserve"> </v>
      </c>
      <c r="C163" s="189"/>
      <c r="D163">
        <v>134</v>
      </c>
      <c r="E163" s="187" t="str">
        <f ca="1">IF(INDIRECT("'SGO #1(Tiered or Simple)'!B314")=0, " ",INDIRECT("'SGO #1(Tiered or Simple)'!B314"))</f>
        <v xml:space="preserve"> </v>
      </c>
      <c r="F163" s="187"/>
    </row>
    <row r="164" spans="1:6" x14ac:dyDescent="0.25">
      <c r="A164">
        <v>90</v>
      </c>
      <c r="B164" s="189" t="str">
        <f ca="1">IF(INDIRECT("'SGO #1(Tiered or Simple)'!B270")=0, " ",INDIRECT("'SGO #1(Tiered or Simple)'!B270"))</f>
        <v xml:space="preserve"> </v>
      </c>
      <c r="C164" s="189"/>
      <c r="D164">
        <v>135</v>
      </c>
      <c r="E164" s="187" t="str">
        <f ca="1">IF(INDIRECT("'SGO #1(Tiered or Simple)'!B315")=0, " ",INDIRECT("'SGO #1(Tiered or Simple)'!B315"))</f>
        <v xml:space="preserve"> </v>
      </c>
      <c r="F164" s="187"/>
    </row>
    <row r="165" spans="1:6" x14ac:dyDescent="0.25">
      <c r="A165">
        <v>91</v>
      </c>
      <c r="B165" s="189" t="str">
        <f ca="1">IF(INDIRECT("'SGO #1(Tiered or Simple)'!B271")=0, " ",INDIRECT("'SGO #1(Tiered or Simple)'!B271"))</f>
        <v xml:space="preserve"> </v>
      </c>
      <c r="C165" s="189"/>
      <c r="D165">
        <v>136</v>
      </c>
      <c r="E165" s="187" t="str">
        <f ca="1">IF(INDIRECT("'SGO #1(Tiered or Simple)'!B316")=0, " ",INDIRECT("'SGO #1(Tiered or Simple)'!B316"))</f>
        <v xml:space="preserve"> </v>
      </c>
      <c r="F165" s="187"/>
    </row>
    <row r="166" spans="1:6" x14ac:dyDescent="0.25">
      <c r="A166">
        <v>92</v>
      </c>
      <c r="B166" s="189" t="str">
        <f ca="1">IF(INDIRECT("'SGO #1(Tiered or Simple)'!B272")=0, " ",INDIRECT("'SGO #1(Tiered or Simple)'!B272"))</f>
        <v xml:space="preserve"> </v>
      </c>
      <c r="C166" s="189"/>
      <c r="D166">
        <v>137</v>
      </c>
      <c r="E166" s="187" t="str">
        <f ca="1">IF(INDIRECT("'SGO #1(Tiered or Simple)'!B317")=0, " ",INDIRECT("'SGO #1(Tiered or Simple)'!B317"))</f>
        <v xml:space="preserve"> </v>
      </c>
      <c r="F166" s="187"/>
    </row>
    <row r="167" spans="1:6" x14ac:dyDescent="0.25">
      <c r="A167">
        <v>93</v>
      </c>
      <c r="B167" s="189" t="str">
        <f ca="1">IF(INDIRECT("'SGO #1(Tiered or Simple)'!B273")=0, " ",INDIRECT("'SGO #1(Tiered or Simple)'!B273"))</f>
        <v xml:space="preserve"> </v>
      </c>
      <c r="C167" s="189"/>
      <c r="D167">
        <v>138</v>
      </c>
      <c r="E167" s="187" t="str">
        <f ca="1">IF(INDIRECT("'SGO #1(Tiered or Simple)'!B318")=0, " ",INDIRECT("'SGO #1(Tiered or Simple)'!B318"))</f>
        <v xml:space="preserve"> </v>
      </c>
      <c r="F167" s="187"/>
    </row>
    <row r="168" spans="1:6" x14ac:dyDescent="0.25">
      <c r="A168">
        <v>94</v>
      </c>
      <c r="B168" s="189" t="str">
        <f ca="1">IF(INDIRECT("'SGO #1(Tiered or Simple)'!B274")=0, " ",INDIRECT("'SGO #1(Tiered or Simple)'!B274"))</f>
        <v xml:space="preserve"> </v>
      </c>
      <c r="C168" s="189"/>
      <c r="D168">
        <v>139</v>
      </c>
      <c r="E168" s="187" t="str">
        <f ca="1">IF(INDIRECT("'SGO #1(Tiered or Simple)'!B319")=0, " ",INDIRECT("'SGO #1(Tiered or Simple)'!B319"))</f>
        <v xml:space="preserve"> </v>
      </c>
      <c r="F168" s="187"/>
    </row>
    <row r="169" spans="1:6" x14ac:dyDescent="0.25">
      <c r="A169">
        <v>95</v>
      </c>
      <c r="B169" s="189" t="str">
        <f ca="1">IF(INDIRECT("'SGO #1(Tiered or Simple)'!B275")=0, " ",INDIRECT("'SGO #1(Tiered or Simple)'!B275"))</f>
        <v xml:space="preserve"> </v>
      </c>
      <c r="C169" s="189"/>
      <c r="D169">
        <v>140</v>
      </c>
      <c r="E169" s="187" t="str">
        <f ca="1">IF(INDIRECT("'SGO #1(Tiered or Simple)'!B320")=0, " ",INDIRECT("'SGO #1(Tiered or Simple)'!B320"))</f>
        <v xml:space="preserve"> </v>
      </c>
      <c r="F169" s="187"/>
    </row>
    <row r="170" spans="1:6" x14ac:dyDescent="0.25">
      <c r="A170">
        <v>96</v>
      </c>
      <c r="B170" s="189" t="str">
        <f ca="1">IF(INDIRECT("'SGO #1(Tiered or Simple)'!B276")=0, " ",INDIRECT("'SGO #1(Tiered or Simple)'!B276"))</f>
        <v xml:space="preserve"> </v>
      </c>
      <c r="C170" s="189"/>
      <c r="D170">
        <v>141</v>
      </c>
      <c r="E170" s="187" t="str">
        <f ca="1">IF(INDIRECT("'SGO #1(Tiered or Simple)'!B321")=0, " ",INDIRECT("'SGO #1(Tiered or Simple)'!B321"))</f>
        <v xml:space="preserve"> </v>
      </c>
      <c r="F170" s="187"/>
    </row>
    <row r="171" spans="1:6" x14ac:dyDescent="0.25">
      <c r="A171">
        <v>97</v>
      </c>
      <c r="B171" s="189" t="str">
        <f ca="1">IF(INDIRECT("'SGO #1(Tiered or Simple)'!B277")=0, " ",INDIRECT("'SGO #1(Tiered or Simple)'!B277"))</f>
        <v xml:space="preserve"> </v>
      </c>
      <c r="C171" s="189"/>
      <c r="D171">
        <v>142</v>
      </c>
      <c r="E171" s="187" t="str">
        <f ca="1">IF(INDIRECT("'SGO #1(Tiered or Simple)'!B322")=0, " ",INDIRECT("'SGO #1(Tiered or Simple)'!B322"))</f>
        <v xml:space="preserve"> </v>
      </c>
      <c r="F171" s="187"/>
    </row>
    <row r="172" spans="1:6" x14ac:dyDescent="0.25">
      <c r="A172">
        <v>98</v>
      </c>
      <c r="B172" s="189" t="str">
        <f ca="1">IF(INDIRECT("'SGO #1(Tiered or Simple)'!B278")=0, " ",INDIRECT("'SGO #1(Tiered or Simple)'!B278"))</f>
        <v xml:space="preserve"> </v>
      </c>
      <c r="C172" s="189"/>
      <c r="D172">
        <v>143</v>
      </c>
      <c r="E172" s="187" t="str">
        <f ca="1">IF(INDIRECT("'SGO #1(Tiered or Simple)'!B323")=0, " ",INDIRECT("'SGO #1(Tiered or Simple)'!B323"))</f>
        <v xml:space="preserve"> </v>
      </c>
      <c r="F172" s="187"/>
    </row>
    <row r="173" spans="1:6" x14ac:dyDescent="0.25">
      <c r="A173">
        <v>99</v>
      </c>
      <c r="B173" s="189" t="str">
        <f ca="1">IF(INDIRECT("'SGO #1(Tiered or Simple)'!B279")=0, " ",INDIRECT("'SGO #1(Tiered or Simple)'!B279"))</f>
        <v xml:space="preserve"> </v>
      </c>
      <c r="C173" s="189"/>
      <c r="D173">
        <v>144</v>
      </c>
      <c r="E173" s="187" t="str">
        <f ca="1">IF(INDIRECT("'SGO #1(Tiered or Simple)'!B324")=0, " ",INDIRECT("'SGO #1(Tiered or Simple)'!B324"))</f>
        <v xml:space="preserve"> </v>
      </c>
      <c r="F173" s="187"/>
    </row>
    <row r="174" spans="1:6" x14ac:dyDescent="0.25">
      <c r="A174">
        <v>100</v>
      </c>
      <c r="B174" s="189" t="str">
        <f ca="1">IF(INDIRECT("'SGO #1(Tiered or Simple)'!B280")=0, " ",INDIRECT("'SGO #1(Tiered or Simple)'!B280"))</f>
        <v xml:space="preserve"> </v>
      </c>
      <c r="C174" s="189"/>
      <c r="D174">
        <v>145</v>
      </c>
      <c r="E174" s="187" t="str">
        <f ca="1">IF(INDIRECT("'SGO #1(Tiered or Simple)'!B325")=0, " ",INDIRECT("'SGO #1(Tiered or Simple)'!B325"))</f>
        <v xml:space="preserve"> </v>
      </c>
      <c r="F174" s="187"/>
    </row>
    <row r="175" spans="1:6" x14ac:dyDescent="0.25">
      <c r="A175">
        <v>101</v>
      </c>
      <c r="B175" s="189" t="str">
        <f ca="1">IF(INDIRECT("'SGO #1(Tiered or Simple)'!B281")=0, " ",INDIRECT("'SGO #1(Tiered or Simple)'!B281"))</f>
        <v xml:space="preserve"> </v>
      </c>
      <c r="C175" s="189"/>
      <c r="D175">
        <v>146</v>
      </c>
      <c r="E175" s="187" t="str">
        <f ca="1">IF(INDIRECT("'SGO #1(Tiered or Simple)'!B326")=0, " ",INDIRECT("'SGO #1(Tiered or Simple)'!B326"))</f>
        <v xml:space="preserve"> </v>
      </c>
      <c r="F175" s="187"/>
    </row>
    <row r="176" spans="1:6" x14ac:dyDescent="0.25">
      <c r="A176">
        <v>102</v>
      </c>
      <c r="B176" s="189" t="str">
        <f ca="1">IF(INDIRECT("'SGO #1(Tiered or Simple)'!B282")=0, " ",INDIRECT("'SGO #1(Tiered or Simple)'!B282"))</f>
        <v xml:space="preserve"> </v>
      </c>
      <c r="C176" s="189"/>
      <c r="D176">
        <v>147</v>
      </c>
      <c r="E176" s="187" t="str">
        <f ca="1">IF(INDIRECT("'SGO #1(Tiered or Simple)'!B327")=0, " ",INDIRECT("'SGO #1(Tiered or Simple)'!B327"))</f>
        <v xml:space="preserve"> </v>
      </c>
      <c r="F176" s="187"/>
    </row>
    <row r="177" spans="1:6" x14ac:dyDescent="0.25">
      <c r="A177">
        <v>103</v>
      </c>
      <c r="B177" s="189" t="str">
        <f ca="1">IF(INDIRECT("'SGO #1(Tiered or Simple)'!B283")=0, " ",INDIRECT("'SGO #1(Tiered or Simple)'!B283"))</f>
        <v xml:space="preserve"> </v>
      </c>
      <c r="C177" s="189"/>
      <c r="D177">
        <v>148</v>
      </c>
      <c r="E177" s="187" t="str">
        <f ca="1">IF(INDIRECT("'SGO #1(Tiered or Simple)'!B328")=0, " ",INDIRECT("'SGO #1(Tiered or Simple)'!B328"))</f>
        <v xml:space="preserve"> </v>
      </c>
      <c r="F177" s="187"/>
    </row>
    <row r="178" spans="1:6" x14ac:dyDescent="0.25">
      <c r="A178">
        <v>104</v>
      </c>
      <c r="B178" s="189" t="str">
        <f ca="1">IF(INDIRECT("'SGO #1(Tiered or Simple)'!B284")=0, " ",INDIRECT("'SGO #1(Tiered or Simple)'!B284"))</f>
        <v xml:space="preserve"> </v>
      </c>
      <c r="C178" s="189"/>
      <c r="D178">
        <v>149</v>
      </c>
      <c r="E178" s="187" t="str">
        <f ca="1">IF(INDIRECT("'SGO #1(Tiered or Simple)'!B329")=0, " ",INDIRECT("'SGO #1(Tiered or Simple)'!B329"))</f>
        <v xml:space="preserve"> </v>
      </c>
      <c r="F178" s="187"/>
    </row>
    <row r="179" spans="1:6" ht="15.75" thickBot="1" x14ac:dyDescent="0.3">
      <c r="A179">
        <v>105</v>
      </c>
      <c r="B179" s="189" t="str">
        <f ca="1">IF(INDIRECT("'SGO #1(Tiered or Simple)'!B285")=0, " ",INDIRECT("'SGO #1(Tiered or Simple)'!B285"))</f>
        <v xml:space="preserve"> </v>
      </c>
      <c r="C179" s="189"/>
      <c r="D179">
        <v>150</v>
      </c>
      <c r="E179" s="187" t="str">
        <f ca="1">IF(INDIRECT("'SGO #1(Tiered or Simple)'!B330")=0, " ",INDIRECT("'SGO #1(Tiered or Simple)'!B330"))</f>
        <v xml:space="preserve"> </v>
      </c>
      <c r="F179" s="187"/>
    </row>
    <row r="180" spans="1:6" ht="15.75" thickBot="1" x14ac:dyDescent="0.3">
      <c r="A180" s="190" t="s">
        <v>201</v>
      </c>
      <c r="B180" s="191"/>
      <c r="C180" s="191"/>
      <c r="D180" s="191"/>
      <c r="E180" s="191"/>
      <c r="F180" s="192"/>
    </row>
    <row r="181" spans="1:6" ht="15.75" thickBot="1" x14ac:dyDescent="0.3">
      <c r="A181" s="193" t="s">
        <v>28</v>
      </c>
      <c r="B181" s="194"/>
      <c r="C181" s="194"/>
      <c r="D181" s="194"/>
      <c r="E181" s="194"/>
      <c r="F181" s="195"/>
    </row>
    <row r="182" spans="1:6" x14ac:dyDescent="0.25">
      <c r="A182">
        <v>1</v>
      </c>
      <c r="B182" s="189" t="str">
        <f ca="1">IF(INDIRECT("'SGO #1(Tiered or Simple)'!B333")=0, " ",INDIRECT("'SGO #1(Tiered or Simple)'!B333"))</f>
        <v xml:space="preserve"> </v>
      </c>
      <c r="C182" s="189"/>
      <c r="D182">
        <v>44</v>
      </c>
      <c r="E182" s="196" t="str">
        <f ca="1">IF(INDIRECT("'SGO #1(Tiered or Simple)'!B376")=0, " ",INDIRECT("'SGO #1(Tiered or Simple)'!B376"))</f>
        <v xml:space="preserve"> </v>
      </c>
      <c r="F182" s="196"/>
    </row>
    <row r="183" spans="1:6" x14ac:dyDescent="0.25">
      <c r="A183">
        <v>2</v>
      </c>
      <c r="B183" s="189" t="str">
        <f ca="1">IF(INDIRECT("'SGO #1(Tiered or Simple)'!B334")=0, " ",INDIRECT("'SGO #1(Tiered or Simple)'!B334"))</f>
        <v xml:space="preserve"> </v>
      </c>
      <c r="C183" s="189"/>
      <c r="D183">
        <v>45</v>
      </c>
      <c r="E183" s="189" t="str">
        <f ca="1">IF(INDIRECT("'SGO #1(Tiered or Simple)'!B377")=0, " ",INDIRECT("'SGO #1(Tiered or Simple)'!B377"))</f>
        <v xml:space="preserve"> </v>
      </c>
      <c r="F183" s="189"/>
    </row>
    <row r="184" spans="1:6" x14ac:dyDescent="0.25">
      <c r="A184">
        <v>3</v>
      </c>
      <c r="B184" s="189" t="str">
        <f ca="1">IF(INDIRECT("'SGO #1(Tiered or Simple)'!B335")=0, " ",INDIRECT("'SGO #1(Tiered or Simple)'!B335"))</f>
        <v xml:space="preserve"> </v>
      </c>
      <c r="C184" s="189"/>
      <c r="D184">
        <v>46</v>
      </c>
      <c r="E184" s="187" t="str">
        <f ca="1">IF(INDIRECT("'SGO #1(Tiered or Simple)'!B378")=0, " ",INDIRECT("'SGO #1(Tiered or Simple)'!B378"))</f>
        <v xml:space="preserve"> </v>
      </c>
      <c r="F184" s="187"/>
    </row>
    <row r="185" spans="1:6" x14ac:dyDescent="0.25">
      <c r="A185">
        <v>4</v>
      </c>
      <c r="B185" s="189" t="str">
        <f ca="1">IF(INDIRECT("'SGO #1(Tiered or Simple)'!B336")=0, " ",INDIRECT("'SGO #1(Tiered or Simple)'!B336"))</f>
        <v xml:space="preserve"> </v>
      </c>
      <c r="C185" s="189"/>
      <c r="D185">
        <v>47</v>
      </c>
      <c r="E185" s="187" t="str">
        <f ca="1">IF(INDIRECT("'SGO #1(Tiered or Simple)'!B379")=0, " ",INDIRECT("'SGO #1(Tiered or Simple)'!B379"))</f>
        <v xml:space="preserve"> </v>
      </c>
      <c r="F185" s="187"/>
    </row>
    <row r="186" spans="1:6" x14ac:dyDescent="0.25">
      <c r="A186">
        <v>5</v>
      </c>
      <c r="B186" s="189" t="str">
        <f ca="1">IF(INDIRECT("'SGO #1(Tiered or Simple)'!B337")=0, " ",INDIRECT("'SGO #1(Tiered or Simple)'!B337"))</f>
        <v xml:space="preserve"> </v>
      </c>
      <c r="C186" s="189"/>
      <c r="D186" s="121">
        <v>48</v>
      </c>
      <c r="E186" s="187" t="str">
        <f ca="1">IF(INDIRECT("'SGO #1(Tiered or Simple)'!B380")=0, " ",INDIRECT("'SGO #1(Tiered or Simple)'!B380"))</f>
        <v xml:space="preserve"> </v>
      </c>
      <c r="F186" s="187"/>
    </row>
    <row r="187" spans="1:6" x14ac:dyDescent="0.25">
      <c r="A187">
        <v>6</v>
      </c>
      <c r="B187" s="189" t="str">
        <f ca="1">IF(INDIRECT("'SGO #1(Tiered or Simple)'!B338")=0, " ",INDIRECT("'SGO #1(Tiered or Simple)'!B338"))</f>
        <v xml:space="preserve"> </v>
      </c>
      <c r="C187" s="189"/>
      <c r="D187" s="121">
        <v>49</v>
      </c>
      <c r="E187" s="187" t="str">
        <f ca="1">IF(INDIRECT("'SGO #1(Tiered or Simple)'!B381")=0, " ",INDIRECT("'SGO #1(Tiered or Simple)'!B381"))</f>
        <v xml:space="preserve"> </v>
      </c>
      <c r="F187" s="187"/>
    </row>
    <row r="188" spans="1:6" x14ac:dyDescent="0.25">
      <c r="A188">
        <v>7</v>
      </c>
      <c r="B188" s="189" t="str">
        <f ca="1">IF(INDIRECT("'SGO #1(Tiered or Simple)'!B339")=0, " ",INDIRECT("'SGO #1(Tiered or Simple)'!B339"))</f>
        <v xml:space="preserve"> </v>
      </c>
      <c r="C188" s="189"/>
      <c r="D188" s="121">
        <v>50</v>
      </c>
      <c r="E188" s="187" t="str">
        <f ca="1">IF(INDIRECT("'SGO #1(Tiered or Simple)'!B382")=0, " ",INDIRECT("'SGO #1(Tiered or Simple)'!B382"))</f>
        <v xml:space="preserve"> </v>
      </c>
      <c r="F188" s="187"/>
    </row>
    <row r="189" spans="1:6" x14ac:dyDescent="0.25">
      <c r="A189">
        <v>8</v>
      </c>
      <c r="B189" s="189" t="str">
        <f ca="1">IF(INDIRECT("'SGO #1(Tiered or Simple)'!B340")=0, " ",INDIRECT("'SGO #1(Tiered or Simple)'!B340"))</f>
        <v xml:space="preserve"> </v>
      </c>
      <c r="C189" s="189"/>
      <c r="D189" s="121">
        <v>51</v>
      </c>
      <c r="E189" s="187" t="str">
        <f ca="1">IF(INDIRECT("'SGO #1(Tiered or Simple)'!B383")=0, " ",INDIRECT("'SGO #1(Tiered or Simple)'!B383"))</f>
        <v xml:space="preserve"> </v>
      </c>
      <c r="F189" s="187"/>
    </row>
    <row r="190" spans="1:6" x14ac:dyDescent="0.25">
      <c r="A190">
        <v>9</v>
      </c>
      <c r="B190" s="189" t="str">
        <f ca="1">IF(INDIRECT("'SGO #1(Tiered or Simple)'!B341")=0, " ",INDIRECT("'SGO #1(Tiered or Simple)'!B341"))</f>
        <v xml:space="preserve"> </v>
      </c>
      <c r="C190" s="189"/>
      <c r="D190" s="121">
        <v>52</v>
      </c>
      <c r="E190" s="187" t="str">
        <f ca="1">IF(INDIRECT("'SGO #1(Tiered or Simple)'!B384")=0, " ",INDIRECT("'SGO #1(Tiered or Simple)'!B384"))</f>
        <v xml:space="preserve"> </v>
      </c>
      <c r="F190" s="187"/>
    </row>
    <row r="191" spans="1:6" x14ac:dyDescent="0.25">
      <c r="A191">
        <v>10</v>
      </c>
      <c r="B191" s="189" t="str">
        <f ca="1">IF(INDIRECT("'SGO #1(Tiered or Simple)'!B342")=0, " ",INDIRECT("'SGO #1(Tiered or Simple)'!B342"))</f>
        <v xml:space="preserve"> </v>
      </c>
      <c r="C191" s="189"/>
      <c r="D191" s="121">
        <v>53</v>
      </c>
      <c r="E191" s="187" t="str">
        <f ca="1">IF(INDIRECT("'SGO #1(Tiered or Simple)'!B385")=0, " ",INDIRECT("'SGO #1(Tiered or Simple)'!B385"))</f>
        <v xml:space="preserve"> </v>
      </c>
      <c r="F191" s="187"/>
    </row>
    <row r="192" spans="1:6" x14ac:dyDescent="0.25">
      <c r="A192">
        <v>11</v>
      </c>
      <c r="B192" s="189" t="str">
        <f ca="1">IF(INDIRECT("'SGO #1(Tiered or Simple)'!B343")=0, " ",INDIRECT("'SGO #1(Tiered or Simple)'!B343"))</f>
        <v xml:space="preserve"> </v>
      </c>
      <c r="C192" s="189"/>
      <c r="D192" s="121">
        <v>54</v>
      </c>
      <c r="E192" s="187" t="str">
        <f ca="1">IF(INDIRECT("'SGO #1(Tiered or Simple)'!B386")=0, " ",INDIRECT("'SGO #1(Tiered or Simple)'!B386"))</f>
        <v xml:space="preserve"> </v>
      </c>
      <c r="F192" s="187"/>
    </row>
    <row r="193" spans="1:6" x14ac:dyDescent="0.25">
      <c r="A193">
        <v>12</v>
      </c>
      <c r="B193" s="189" t="str">
        <f ca="1">IF(INDIRECT("'SGO #1(Tiered or Simple)'!B344")=0, " ",INDIRECT("'SGO #1(Tiered or Simple)'!B344"))</f>
        <v xml:space="preserve"> </v>
      </c>
      <c r="C193" s="189"/>
      <c r="D193" s="121">
        <v>55</v>
      </c>
      <c r="E193" s="187" t="str">
        <f ca="1">IF(INDIRECT("'SGO #1(Tiered or Simple)'!B387")=0, " ",INDIRECT("'SGO #1(Tiered or Simple)'!B387"))</f>
        <v xml:space="preserve"> </v>
      </c>
      <c r="F193" s="187"/>
    </row>
    <row r="194" spans="1:6" x14ac:dyDescent="0.25">
      <c r="A194">
        <v>13</v>
      </c>
      <c r="B194" s="189" t="str">
        <f ca="1">IF(INDIRECT("'SGO #1(Tiered or Simple)'!B345")=0, " ",INDIRECT("'SGO #1(Tiered or Simple)'!B345"))</f>
        <v xml:space="preserve"> </v>
      </c>
      <c r="C194" s="189"/>
      <c r="D194" s="121">
        <v>56</v>
      </c>
      <c r="E194" s="187" t="str">
        <f ca="1">IF(INDIRECT("'SGO #1(Tiered or Simple)'!B388")=0, " ",INDIRECT("'SGO #1(Tiered or Simple)'!B388"))</f>
        <v xml:space="preserve"> </v>
      </c>
      <c r="F194" s="187"/>
    </row>
    <row r="195" spans="1:6" x14ac:dyDescent="0.25">
      <c r="A195">
        <v>14</v>
      </c>
      <c r="B195" s="189" t="str">
        <f ca="1">IF(INDIRECT("'SGO #1(Tiered or Simple)'!B346")=0, " ",INDIRECT("'SGO #1(Tiered or Simple)'!B346"))</f>
        <v xml:space="preserve"> </v>
      </c>
      <c r="C195" s="189"/>
      <c r="D195" s="121">
        <v>57</v>
      </c>
      <c r="E195" s="187" t="str">
        <f ca="1">IF(INDIRECT("'SGO #1(Tiered or Simple)'!B389")=0, " ",INDIRECT("'SGO #1(Tiered or Simple)'!B389"))</f>
        <v xml:space="preserve"> </v>
      </c>
      <c r="F195" s="187"/>
    </row>
    <row r="196" spans="1:6" x14ac:dyDescent="0.25">
      <c r="A196">
        <v>15</v>
      </c>
      <c r="B196" s="189" t="str">
        <f ca="1">IF(INDIRECT("'SGO #1(Tiered or Simple)'!B347")=0, " ",INDIRECT("'SGO #1(Tiered or Simple)'!B347"))</f>
        <v xml:space="preserve"> </v>
      </c>
      <c r="C196" s="189"/>
      <c r="D196" s="121">
        <v>58</v>
      </c>
      <c r="E196" s="187" t="str">
        <f ca="1">IF(INDIRECT("'SGO #1(Tiered or Simple)'!B390")=0, " ",INDIRECT("'SGO #1(Tiered or Simple)'!B390"))</f>
        <v xml:space="preserve"> </v>
      </c>
      <c r="F196" s="187"/>
    </row>
    <row r="197" spans="1:6" x14ac:dyDescent="0.25">
      <c r="A197">
        <v>16</v>
      </c>
      <c r="B197" s="189" t="str">
        <f ca="1">IF(INDIRECT("'SGO #1(Tiered or Simple)'!B348")=0, " ",INDIRECT("'SGO #1(Tiered or Simple)'!B348"))</f>
        <v xml:space="preserve"> </v>
      </c>
      <c r="C197" s="189"/>
      <c r="D197" s="121">
        <v>59</v>
      </c>
      <c r="E197" s="187" t="str">
        <f ca="1">IF(INDIRECT("'SGO #1(Tiered or Simple)'!B391")=0, " ",INDIRECT("'SGO #1(Tiered or Simple)'!B391"))</f>
        <v xml:space="preserve"> </v>
      </c>
      <c r="F197" s="187"/>
    </row>
    <row r="198" spans="1:6" x14ac:dyDescent="0.25">
      <c r="A198">
        <v>17</v>
      </c>
      <c r="B198" s="189" t="str">
        <f ca="1">IF(INDIRECT("'SGO #1(Tiered or Simple)'!B349")=0, " ",INDIRECT("'SGO #1(Tiered or Simple)'!B349"))</f>
        <v xml:space="preserve"> </v>
      </c>
      <c r="C198" s="189"/>
      <c r="D198" s="121">
        <v>60</v>
      </c>
      <c r="E198" s="187" t="str">
        <f ca="1">IF(INDIRECT("'SGO #1(Tiered or Simple)'!B392")=0, " ",INDIRECT("'SGO #1(Tiered or Simple)'!B392"))</f>
        <v xml:space="preserve"> </v>
      </c>
      <c r="F198" s="187"/>
    </row>
    <row r="199" spans="1:6" x14ac:dyDescent="0.25">
      <c r="A199">
        <v>18</v>
      </c>
      <c r="B199" s="189" t="str">
        <f ca="1">IF(INDIRECT("'SGO #1(Tiered or Simple)'!B350")=0, " ",INDIRECT("'SGO #1(Tiered or Simple)'!B350"))</f>
        <v xml:space="preserve"> </v>
      </c>
      <c r="C199" s="189"/>
      <c r="D199" s="121">
        <v>61</v>
      </c>
      <c r="E199" s="187" t="str">
        <f ca="1">IF(INDIRECT("'SGO #1(Tiered or Simple)'!B393")=0, " ",INDIRECT("'SGO #1(Tiered or Simple)'!B393"))</f>
        <v xml:space="preserve"> </v>
      </c>
      <c r="F199" s="187"/>
    </row>
    <row r="200" spans="1:6" x14ac:dyDescent="0.25">
      <c r="A200">
        <v>19</v>
      </c>
      <c r="B200" s="189" t="str">
        <f ca="1">IF(INDIRECT("'SGO #1(Tiered or Simple)'!B351")=0, " ",INDIRECT("'SGO #1(Tiered or Simple)'!B351"))</f>
        <v xml:space="preserve"> </v>
      </c>
      <c r="C200" s="189"/>
      <c r="D200" s="121">
        <v>62</v>
      </c>
      <c r="E200" s="187" t="str">
        <f ca="1">IF(INDIRECT("'SGO #1(Tiered or Simple)'!B394")=0, " ",INDIRECT("'SGO #1(Tiered or Simple)'!B394"))</f>
        <v xml:space="preserve"> </v>
      </c>
      <c r="F200" s="187"/>
    </row>
    <row r="201" spans="1:6" x14ac:dyDescent="0.25">
      <c r="A201">
        <v>20</v>
      </c>
      <c r="B201" s="189" t="str">
        <f ca="1">IF(INDIRECT("'SGO #1(Tiered or Simple)'!B352")=0, " ",INDIRECT("'SGO #1(Tiered or Simple)'!B352"))</f>
        <v xml:space="preserve"> </v>
      </c>
      <c r="C201" s="189"/>
      <c r="D201" s="121">
        <v>63</v>
      </c>
      <c r="E201" s="187" t="str">
        <f ca="1">IF(INDIRECT("'SGO #1(Tiered or Simple)'!B395")=0, " ",INDIRECT("'SGO #1(Tiered or Simple)'!B395"))</f>
        <v xml:space="preserve"> </v>
      </c>
      <c r="F201" s="187"/>
    </row>
    <row r="202" spans="1:6" x14ac:dyDescent="0.25">
      <c r="A202">
        <v>21</v>
      </c>
      <c r="B202" s="189" t="str">
        <f ca="1">IF(INDIRECT("'SGO #1(Tiered or Simple)'!B353")=0, " ",INDIRECT("'SGO #1(Tiered or Simple)'!B353"))</f>
        <v xml:space="preserve"> </v>
      </c>
      <c r="C202" s="189"/>
      <c r="D202" s="121">
        <v>64</v>
      </c>
      <c r="E202" s="187" t="str">
        <f ca="1">IF(INDIRECT("'SGO #1(Tiered or Simple)'!B396")=0, " ",INDIRECT("'SGO #1(Tiered or Simple)'!B396"))</f>
        <v xml:space="preserve"> </v>
      </c>
      <c r="F202" s="187"/>
    </row>
    <row r="203" spans="1:6" x14ac:dyDescent="0.25">
      <c r="A203">
        <v>22</v>
      </c>
      <c r="B203" s="189" t="str">
        <f ca="1">IF(INDIRECT("'SGO #1(Tiered or Simple)'!B354")=0, " ",INDIRECT("'SGO #1(Tiered or Simple)'!B354"))</f>
        <v xml:space="preserve"> </v>
      </c>
      <c r="C203" s="189"/>
      <c r="D203" s="121">
        <v>65</v>
      </c>
      <c r="E203" s="187" t="str">
        <f ca="1">IF(INDIRECT("'SGO #1(Tiered or Simple)'!B397")=0, " ",INDIRECT("'SGO #1(Tiered or Simple)'!B397"))</f>
        <v xml:space="preserve"> </v>
      </c>
      <c r="F203" s="187"/>
    </row>
    <row r="204" spans="1:6" x14ac:dyDescent="0.25">
      <c r="A204">
        <v>23</v>
      </c>
      <c r="B204" s="189" t="str">
        <f ca="1">IF(INDIRECT("'SGO #1(Tiered or Simple)'!B355")=0, " ",INDIRECT("'SGO #1(Tiered or Simple)'!B355"))</f>
        <v xml:space="preserve"> </v>
      </c>
      <c r="C204" s="189"/>
      <c r="D204" s="121">
        <v>66</v>
      </c>
      <c r="E204" s="187" t="str">
        <f ca="1">IF(INDIRECT("'SGO #1(Tiered or Simple)'!B398")=0, " ",INDIRECT("'SGO #1(Tiered or Simple)'!B398"))</f>
        <v xml:space="preserve"> </v>
      </c>
      <c r="F204" s="187"/>
    </row>
    <row r="205" spans="1:6" x14ac:dyDescent="0.25">
      <c r="A205">
        <v>24</v>
      </c>
      <c r="B205" s="189" t="str">
        <f ca="1">IF(INDIRECT("'SGO #1(Tiered or Simple)'!B356")=0, " ",INDIRECT("'SGO #1(Tiered or Simple)'!B356"))</f>
        <v xml:space="preserve"> </v>
      </c>
      <c r="C205" s="189"/>
      <c r="D205" s="121">
        <v>67</v>
      </c>
      <c r="E205" s="187" t="str">
        <f ca="1">IF(INDIRECT("'SGO #1(Tiered or Simple)'!B399")=0, " ",INDIRECT("'SGO #1(Tiered or Simple)'!B399"))</f>
        <v xml:space="preserve"> </v>
      </c>
      <c r="F205" s="187"/>
    </row>
    <row r="206" spans="1:6" x14ac:dyDescent="0.25">
      <c r="A206">
        <v>25</v>
      </c>
      <c r="B206" s="189" t="str">
        <f ca="1">IF(INDIRECT("'SGO #1(Tiered or Simple)'!B357")=0, " ",INDIRECT("'SGO #1(Tiered or Simple)'!B357"))</f>
        <v xml:space="preserve"> </v>
      </c>
      <c r="C206" s="189"/>
      <c r="D206" s="121">
        <v>68</v>
      </c>
      <c r="E206" s="187" t="str">
        <f ca="1">IF(INDIRECT("'SGO #1(Tiered or Simple)'!B400")=0, " ",INDIRECT("'SGO #1(Tiered or Simple)'!B400"))</f>
        <v xml:space="preserve"> </v>
      </c>
      <c r="F206" s="187"/>
    </row>
    <row r="207" spans="1:6" x14ac:dyDescent="0.25">
      <c r="A207">
        <v>26</v>
      </c>
      <c r="B207" s="189" t="str">
        <f ca="1">IF(INDIRECT("'SGO #1(Tiered or Simple)'!B358")=0, " ",INDIRECT("'SGO #1(Tiered or Simple)'!B358"))</f>
        <v xml:space="preserve"> </v>
      </c>
      <c r="C207" s="189"/>
      <c r="D207" s="121">
        <v>69</v>
      </c>
      <c r="E207" s="187" t="str">
        <f ca="1">IF(INDIRECT("'SGO #1(Tiered or Simple)'!B401")=0, " ",INDIRECT("'SGO #1(Tiered or Simple)'!B401"))</f>
        <v xml:space="preserve"> </v>
      </c>
      <c r="F207" s="187"/>
    </row>
    <row r="208" spans="1:6" x14ac:dyDescent="0.25">
      <c r="A208">
        <v>27</v>
      </c>
      <c r="B208" s="189" t="str">
        <f ca="1">IF(INDIRECT("'SGO #1(Tiered or Simple)'!B359")=0, " ",INDIRECT("'SGO #1(Tiered or Simple)'!B359"))</f>
        <v xml:space="preserve"> </v>
      </c>
      <c r="C208" s="189"/>
      <c r="D208" s="121">
        <v>70</v>
      </c>
      <c r="E208" s="187" t="str">
        <f ca="1">IF(INDIRECT("'SGO #1(Tiered or Simple)'!B402")=0, " ",INDIRECT("'SGO #1(Tiered or Simple)'!B402"))</f>
        <v xml:space="preserve"> </v>
      </c>
      <c r="F208" s="187"/>
    </row>
    <row r="209" spans="1:6" x14ac:dyDescent="0.25">
      <c r="A209">
        <v>28</v>
      </c>
      <c r="B209" s="189" t="str">
        <f ca="1">IF(INDIRECT("'SGO #1(Tiered or Simple)'!B360")=0, " ",INDIRECT("'SGO #1(Tiered or Simple)'!B360"))</f>
        <v xml:space="preserve"> </v>
      </c>
      <c r="C209" s="189"/>
      <c r="D209" s="121">
        <v>71</v>
      </c>
      <c r="E209" s="187" t="str">
        <f ca="1">IF(INDIRECT("'SGO #1(Tiered or Simple)'!B403")=0, " ",INDIRECT("'SGO #1(Tiered or Simple)'!B403"))</f>
        <v xml:space="preserve"> </v>
      </c>
      <c r="F209" s="187"/>
    </row>
    <row r="210" spans="1:6" x14ac:dyDescent="0.25">
      <c r="A210">
        <v>29</v>
      </c>
      <c r="B210" s="189" t="str">
        <f ca="1">IF(INDIRECT("'SGO #1(Tiered or Simple)'!B361")=0, " ",INDIRECT("'SGO #1(Tiered or Simple)'!B361"))</f>
        <v xml:space="preserve"> </v>
      </c>
      <c r="C210" s="189"/>
      <c r="D210" s="121">
        <v>72</v>
      </c>
      <c r="E210" s="187" t="str">
        <f ca="1">IF(INDIRECT("'SGO #1(Tiered or Simple)'!B404")=0, " ",INDIRECT("'SGO #1(Tiered or Simple)'!B404"))</f>
        <v xml:space="preserve"> </v>
      </c>
      <c r="F210" s="187"/>
    </row>
    <row r="211" spans="1:6" x14ac:dyDescent="0.25">
      <c r="A211">
        <v>30</v>
      </c>
      <c r="B211" s="189" t="str">
        <f ca="1">IF(INDIRECT("'SGO #1(Tiered or Simple)'!B362")=0, " ",INDIRECT("'SGO #1(Tiered or Simple)'!B362"))</f>
        <v xml:space="preserve"> </v>
      </c>
      <c r="C211" s="189"/>
      <c r="D211" s="121">
        <v>73</v>
      </c>
      <c r="E211" s="187" t="str">
        <f ca="1">IF(INDIRECT("'SGO #1(Tiered or Simple)'!B405")=0, " ",INDIRECT("'SGO #1(Tiered or Simple)'!B405"))</f>
        <v xml:space="preserve"> </v>
      </c>
      <c r="F211" s="187"/>
    </row>
    <row r="212" spans="1:6" x14ac:dyDescent="0.25">
      <c r="A212">
        <v>31</v>
      </c>
      <c r="B212" s="189" t="str">
        <f ca="1">IF(INDIRECT("'SGO #1(Tiered or Simple)'!B363")=0, " ",INDIRECT("'SGO #1(Tiered or Simple)'!B363"))</f>
        <v xml:space="preserve"> </v>
      </c>
      <c r="C212" s="189"/>
      <c r="D212" s="121">
        <v>74</v>
      </c>
      <c r="E212" s="187" t="str">
        <f ca="1">IF(INDIRECT("'SGO #1(Tiered or Simple)'!B406")=0, " ",INDIRECT("'SGO #1(Tiered or Simple)'!B406"))</f>
        <v xml:space="preserve"> </v>
      </c>
      <c r="F212" s="187"/>
    </row>
    <row r="213" spans="1:6" x14ac:dyDescent="0.25">
      <c r="A213">
        <v>32</v>
      </c>
      <c r="B213" s="189" t="str">
        <f ca="1">IF(INDIRECT("'SGO #1(Tiered or Simple)'!B364")=0, " ",INDIRECT("'SGO #1(Tiered or Simple)'!B364"))</f>
        <v xml:space="preserve"> </v>
      </c>
      <c r="C213" s="189"/>
      <c r="D213" s="121">
        <v>75</v>
      </c>
      <c r="E213" s="187" t="str">
        <f ca="1">IF(INDIRECT("'SGO #1(Tiered or Simple)'!B407")=0, " ",INDIRECT("'SGO #1(Tiered or Simple)'!B407"))</f>
        <v xml:space="preserve"> </v>
      </c>
      <c r="F213" s="187"/>
    </row>
    <row r="214" spans="1:6" x14ac:dyDescent="0.25">
      <c r="A214">
        <v>33</v>
      </c>
      <c r="B214" s="189" t="str">
        <f ca="1">IF(INDIRECT("'SGO #1(Tiered or Simple)'!B365")=0, " ",INDIRECT("'SGO #1(Tiered or Simple)'!B365"))</f>
        <v xml:space="preserve"> </v>
      </c>
      <c r="C214" s="189"/>
      <c r="D214" s="121">
        <v>76</v>
      </c>
      <c r="E214" s="187" t="str">
        <f ca="1">IF(INDIRECT("'SGO #1(Tiered or Simple)'!B408")=0, " ",INDIRECT("'SGO #1(Tiered or Simple)'!B408"))</f>
        <v xml:space="preserve"> </v>
      </c>
      <c r="F214" s="187"/>
    </row>
    <row r="215" spans="1:6" x14ac:dyDescent="0.25">
      <c r="A215">
        <v>34</v>
      </c>
      <c r="B215" s="189" t="str">
        <f ca="1">IF(INDIRECT("'SGO #1(Tiered or Simple)'!B366")=0, " ",INDIRECT("'SGO #1(Tiered or Simple)'!B366"))</f>
        <v xml:space="preserve"> </v>
      </c>
      <c r="C215" s="189"/>
      <c r="D215" s="121">
        <v>77</v>
      </c>
      <c r="E215" s="187" t="str">
        <f ca="1">IF(INDIRECT("'SGO #1(Tiered or Simple)'!B409")=0, " ",INDIRECT("'SGO #1(Tiered or Simple)'!B409"))</f>
        <v xml:space="preserve"> </v>
      </c>
      <c r="F215" s="187"/>
    </row>
    <row r="216" spans="1:6" x14ac:dyDescent="0.25">
      <c r="A216">
        <v>35</v>
      </c>
      <c r="B216" s="189" t="str">
        <f ca="1">IF(INDIRECT("'SGO #1(Tiered or Simple)'!B367")=0, " ",INDIRECT("'SGO #1(Tiered or Simple)'!B367"))</f>
        <v xml:space="preserve"> </v>
      </c>
      <c r="C216" s="189"/>
      <c r="D216" s="121">
        <v>78</v>
      </c>
      <c r="E216" s="187" t="str">
        <f ca="1">IF(INDIRECT("'SGO #1(Tiered or Simple)'!B410")=0, " ",INDIRECT("'SGO #1(Tiered or Simple)'!B410"))</f>
        <v xml:space="preserve"> </v>
      </c>
      <c r="F216" s="187"/>
    </row>
    <row r="217" spans="1:6" x14ac:dyDescent="0.25">
      <c r="A217">
        <v>36</v>
      </c>
      <c r="B217" s="189" t="str">
        <f ca="1">IF(INDIRECT("'SGO #1(Tiered or Simple)'!B368")=0, " ",INDIRECT("'SGO #1(Tiered or Simple)'!B368"))</f>
        <v xml:space="preserve"> </v>
      </c>
      <c r="C217" s="189"/>
      <c r="D217" s="121">
        <v>79</v>
      </c>
      <c r="E217" s="187" t="str">
        <f ca="1">IF(INDIRECT("'SGO #1(Tiered or Simple)'!B411")=0, " ",INDIRECT("'SGO #1(Tiered or Simple)'!B411"))</f>
        <v xml:space="preserve"> </v>
      </c>
      <c r="F217" s="187"/>
    </row>
    <row r="218" spans="1:6" x14ac:dyDescent="0.25">
      <c r="A218">
        <v>37</v>
      </c>
      <c r="B218" s="189" t="str">
        <f ca="1">IF(INDIRECT("'SGO #1(Tiered or Simple)'!B369")=0, " ",INDIRECT("'SGO #1(Tiered or Simple)'!B369"))</f>
        <v xml:space="preserve"> </v>
      </c>
      <c r="C218" s="189"/>
      <c r="D218" s="121">
        <v>80</v>
      </c>
      <c r="E218" s="187" t="str">
        <f ca="1">IF(INDIRECT("'SGO #1(Tiered or Simple)'!B412")=0, " ",INDIRECT("'SGO #1(Tiered or Simple)'!B412"))</f>
        <v xml:space="preserve"> </v>
      </c>
      <c r="F218" s="187"/>
    </row>
    <row r="219" spans="1:6" x14ac:dyDescent="0.25">
      <c r="A219">
        <v>38</v>
      </c>
      <c r="B219" s="189" t="str">
        <f ca="1">IF(INDIRECT("'SGO #1(Tiered or Simple)'!B370")=0, " ",INDIRECT("'SGO #1(Tiered or Simple)'!B370"))</f>
        <v xml:space="preserve"> </v>
      </c>
      <c r="C219" s="189"/>
      <c r="D219" s="121">
        <v>81</v>
      </c>
      <c r="E219" s="187" t="str">
        <f ca="1">IF(INDIRECT("'SGO #1(Tiered or Simple)'!B413")=0, " ",INDIRECT("'SGO #1(Tiered or Simple)'!B413"))</f>
        <v xml:space="preserve"> </v>
      </c>
      <c r="F219" s="187"/>
    </row>
    <row r="220" spans="1:6" x14ac:dyDescent="0.25">
      <c r="A220">
        <v>39</v>
      </c>
      <c r="B220" s="189" t="str">
        <f ca="1">IF(INDIRECT("'SGO #1(Tiered or Simple)'!B371")=0, " ",INDIRECT("'SGO #1(Tiered or Simple)'!B371"))</f>
        <v xml:space="preserve"> </v>
      </c>
      <c r="C220" s="189"/>
      <c r="D220" s="121">
        <v>82</v>
      </c>
      <c r="E220" s="187" t="str">
        <f ca="1">IF(INDIRECT("'SGO #1(Tiered or Simple)'!B414")=0, " ",INDIRECT("'SGO #1(Tiered or Simple)'!B414"))</f>
        <v xml:space="preserve"> </v>
      </c>
      <c r="F220" s="187"/>
    </row>
    <row r="221" spans="1:6" x14ac:dyDescent="0.25">
      <c r="A221">
        <v>40</v>
      </c>
      <c r="B221" s="189" t="str">
        <f ca="1">IF(INDIRECT("'SGO #1(Tiered or Simple)'!B372")=0, " ",INDIRECT("'SGO #1(Tiered or Simple)'!B372"))</f>
        <v xml:space="preserve"> </v>
      </c>
      <c r="C221" s="189"/>
      <c r="D221" s="121">
        <v>83</v>
      </c>
      <c r="E221" s="187" t="str">
        <f ca="1">IF(INDIRECT("'SGO #1(Tiered or Simple)'!B415")=0, " ",INDIRECT("'SGO #1(Tiered or Simple)'!B415"))</f>
        <v xml:space="preserve"> </v>
      </c>
      <c r="F221" s="187"/>
    </row>
    <row r="222" spans="1:6" x14ac:dyDescent="0.25">
      <c r="A222">
        <v>41</v>
      </c>
      <c r="B222" s="189" t="str">
        <f ca="1">IF(INDIRECT("'SGO #1(Tiered or Simple)'!B373")=0, " ",INDIRECT("'SGO #1(Tiered or Simple)'!B373"))</f>
        <v xml:space="preserve"> </v>
      </c>
      <c r="C222" s="189"/>
      <c r="D222" s="121">
        <v>84</v>
      </c>
      <c r="E222" s="187" t="str">
        <f ca="1">IF(INDIRECT("'SGO #1(Tiered or Simple)'!B416")=0, " ",INDIRECT("'SGO #1(Tiered or Simple)'!B416"))</f>
        <v xml:space="preserve"> </v>
      </c>
      <c r="F222" s="187"/>
    </row>
    <row r="223" spans="1:6" x14ac:dyDescent="0.25">
      <c r="A223">
        <v>42</v>
      </c>
      <c r="B223" s="189" t="str">
        <f ca="1">IF(INDIRECT("'SGO #1(Tiered or Simple)'!B374")=0, " ",INDIRECT("'SGO #1(Tiered or Simple)'!B374"))</f>
        <v xml:space="preserve"> </v>
      </c>
      <c r="C223" s="189"/>
      <c r="D223" s="121">
        <v>85</v>
      </c>
      <c r="E223" s="187" t="str">
        <f ca="1">IF(INDIRECT("'SGO #1(Tiered or Simple)'!B417")=0, " ",INDIRECT("'SGO #1(Tiered or Simple)'!B417"))</f>
        <v xml:space="preserve"> </v>
      </c>
      <c r="F223" s="187"/>
    </row>
    <row r="224" spans="1:6" x14ac:dyDescent="0.25">
      <c r="A224">
        <v>43</v>
      </c>
      <c r="B224" s="189" t="str">
        <f ca="1">IF(INDIRECT("'SGO #1(Tiered or Simple)'!B375")=0, " ",INDIRECT("'SGO #1(Tiered or Simple)'!B375"))</f>
        <v xml:space="preserve"> </v>
      </c>
      <c r="C224" s="189"/>
      <c r="D224" s="121">
        <v>86</v>
      </c>
      <c r="E224" s="187" t="str">
        <f ca="1">IF(INDIRECT("'SGO #1(Tiered or Simple)'!B418")=0, " ",INDIRECT("'SGO #1(Tiered or Simple)'!B418"))</f>
        <v xml:space="preserve"> </v>
      </c>
      <c r="F224" s="187"/>
    </row>
    <row r="225" spans="1:6" x14ac:dyDescent="0.25">
      <c r="B225" s="188"/>
      <c r="C225" s="188"/>
      <c r="E225" s="188"/>
      <c r="F225" s="188"/>
    </row>
    <row r="226" spans="1:6" x14ac:dyDescent="0.25">
      <c r="A226" s="121">
        <v>87</v>
      </c>
      <c r="B226" s="187" t="str">
        <f ca="1">IF(INDIRECT("'SGO #1(Tiered or Simple)'!B419")=0, " ",INDIRECT("'SGO #1(Tiered or Simple)'!B419"))</f>
        <v xml:space="preserve"> </v>
      </c>
      <c r="C226" s="187"/>
      <c r="D226" s="121">
        <v>121</v>
      </c>
      <c r="E226" s="187" t="str">
        <f ca="1">IF(INDIRECT("'SGO #1(Tiered or Simple)'!B453")=0, " ",INDIRECT("'SGO #1(Tiered or Simple)'!B453"))</f>
        <v xml:space="preserve"> </v>
      </c>
      <c r="F226" s="187"/>
    </row>
    <row r="227" spans="1:6" x14ac:dyDescent="0.25">
      <c r="A227" s="121">
        <v>88</v>
      </c>
      <c r="B227" s="187" t="str">
        <f ca="1">IF(INDIRECT("'SGO #1(Tiered or Simple)'!B420")=0, " ",INDIRECT("'SGO #1(Tiered or Simple)'!B420"))</f>
        <v xml:space="preserve"> </v>
      </c>
      <c r="C227" s="187"/>
      <c r="D227" s="121">
        <v>122</v>
      </c>
      <c r="E227" s="187" t="str">
        <f ca="1">IF(INDIRECT("'SGO #1(Tiered or Simple)'!B454")=0, " ",INDIRECT("'SGO #1(Tiered or Simple)'!B454"))</f>
        <v xml:space="preserve"> </v>
      </c>
      <c r="F227" s="187"/>
    </row>
    <row r="228" spans="1:6" x14ac:dyDescent="0.25">
      <c r="A228" s="121">
        <v>89</v>
      </c>
      <c r="B228" s="187" t="str">
        <f ca="1">IF(INDIRECT("'SGO #1(Tiered or Simple)'!B421")=0, " ",INDIRECT("'SGO #1(Tiered or Simple)'!B421"))</f>
        <v xml:space="preserve"> </v>
      </c>
      <c r="C228" s="187"/>
      <c r="D228" s="121">
        <v>123</v>
      </c>
      <c r="E228" s="187" t="str">
        <f ca="1">IF(INDIRECT("'SGO #1(Tiered or Simple)'!B455")=0, " ",INDIRECT("'SGO #1(Tiered or Simple)'!B455"))</f>
        <v xml:space="preserve"> </v>
      </c>
      <c r="F228" s="187"/>
    </row>
    <row r="229" spans="1:6" x14ac:dyDescent="0.25">
      <c r="A229" s="121">
        <v>90</v>
      </c>
      <c r="B229" s="187" t="str">
        <f ca="1">IF(INDIRECT("'SGO #1(Tiered or Simple)'!B422")=0, " ",INDIRECT("'SGO #1(Tiered or Simple)'!B422"))</f>
        <v xml:space="preserve"> </v>
      </c>
      <c r="C229" s="187"/>
      <c r="D229" s="121">
        <v>124</v>
      </c>
      <c r="E229" s="187" t="str">
        <f ca="1">IF(INDIRECT("'SGO #1(Tiered or Simple)'!B456")=0, " ",INDIRECT("'SGO #1(Tiered or Simple)'!B456"))</f>
        <v xml:space="preserve"> </v>
      </c>
      <c r="F229" s="187"/>
    </row>
    <row r="230" spans="1:6" x14ac:dyDescent="0.25">
      <c r="A230" s="121">
        <v>91</v>
      </c>
      <c r="B230" s="189" t="str">
        <f ca="1">IF(INDIRECT("'SGO #1(Tiered or Simple)'!B423")=0, " ",INDIRECT("'SGO #1(Tiered or Simple)'!B423"))</f>
        <v xml:space="preserve"> </v>
      </c>
      <c r="C230" s="189"/>
      <c r="D230" s="121">
        <v>125</v>
      </c>
      <c r="E230" s="187" t="str">
        <f ca="1">IF(INDIRECT("'SGO #1(Tiered or Simple)'!B457")=0, " ",INDIRECT("'SGO #1(Tiered or Simple)'!B457"))</f>
        <v xml:space="preserve"> </v>
      </c>
      <c r="F230" s="187"/>
    </row>
    <row r="231" spans="1:6" x14ac:dyDescent="0.25">
      <c r="A231" s="121">
        <v>92</v>
      </c>
      <c r="B231" s="189" t="str">
        <f ca="1">IF(INDIRECT("'SGO #1(Tiered or Simple)'!B424")=0, " ",INDIRECT("'SGO #1(Tiered or Simple)'!B424"))</f>
        <v xml:space="preserve"> </v>
      </c>
      <c r="C231" s="189"/>
      <c r="D231" s="121">
        <v>126</v>
      </c>
      <c r="E231" s="187" t="str">
        <f ca="1">IF(INDIRECT("'SGO #1(Tiered or Simple)'!B458")=0, " ",INDIRECT("'SGO #1(Tiered or Simple)'!B458"))</f>
        <v xml:space="preserve"> </v>
      </c>
      <c r="F231" s="187"/>
    </row>
    <row r="232" spans="1:6" x14ac:dyDescent="0.25">
      <c r="A232" s="121">
        <v>93</v>
      </c>
      <c r="B232" s="189" t="str">
        <f ca="1">IF(INDIRECT("'SGO #1(Tiered or Simple)'!B425")=0, " ",INDIRECT("'SGO #1(Tiered or Simple)'!B425"))</f>
        <v xml:space="preserve"> </v>
      </c>
      <c r="C232" s="189"/>
      <c r="D232" s="121">
        <v>127</v>
      </c>
      <c r="E232" s="187" t="str">
        <f ca="1">IF(INDIRECT("'SGO #1(Tiered or Simple)'!B459")=0, " ",INDIRECT("'SGO #1(Tiered or Simple)'!B459"))</f>
        <v xml:space="preserve"> </v>
      </c>
      <c r="F232" s="187"/>
    </row>
    <row r="233" spans="1:6" x14ac:dyDescent="0.25">
      <c r="A233" s="121">
        <v>94</v>
      </c>
      <c r="B233" s="189" t="str">
        <f ca="1">IF(INDIRECT("'SGO #1(Tiered or Simple)'!B426")=0, " ",INDIRECT("'SGO #1(Tiered or Simple)'!B426"))</f>
        <v xml:space="preserve"> </v>
      </c>
      <c r="C233" s="189"/>
      <c r="D233" s="121">
        <v>128</v>
      </c>
      <c r="E233" s="187" t="str">
        <f ca="1">IF(INDIRECT("'SGO #1(Tiered or Simple)'!B460")=0, " ",INDIRECT("'SGO #1(Tiered or Simple)'!B460"))</f>
        <v xml:space="preserve"> </v>
      </c>
      <c r="F233" s="187"/>
    </row>
    <row r="234" spans="1:6" x14ac:dyDescent="0.25">
      <c r="A234" s="121">
        <v>95</v>
      </c>
      <c r="B234" s="189" t="str">
        <f ca="1">IF(INDIRECT("'SGO #1(Tiered or Simple)'!B427")=0, " ",INDIRECT("'SGO #1(Tiered or Simple)'!B427"))</f>
        <v xml:space="preserve"> </v>
      </c>
      <c r="C234" s="189"/>
      <c r="D234" s="121">
        <v>129</v>
      </c>
      <c r="E234" s="187" t="str">
        <f ca="1">IF(INDIRECT("'SGO #1(Tiered or Simple)'!B461")=0, " ",INDIRECT("'SGO #1(Tiered or Simple)'!B461"))</f>
        <v xml:space="preserve"> </v>
      </c>
      <c r="F234" s="187"/>
    </row>
    <row r="235" spans="1:6" x14ac:dyDescent="0.25">
      <c r="A235" s="121">
        <v>96</v>
      </c>
      <c r="B235" s="189" t="str">
        <f ca="1">IF(INDIRECT("'SGO #1(Tiered or Simple)'!B428")=0, " ",INDIRECT("'SGO #1(Tiered or Simple)'!B428"))</f>
        <v xml:space="preserve"> </v>
      </c>
      <c r="C235" s="189"/>
      <c r="D235" s="121">
        <v>130</v>
      </c>
      <c r="E235" s="187" t="str">
        <f ca="1">IF(INDIRECT("'SGO #1(Tiered or Simple)'!B462")=0, " ",INDIRECT("'SGO #1(Tiered or Simple)'!B462"))</f>
        <v xml:space="preserve"> </v>
      </c>
      <c r="F235" s="187"/>
    </row>
    <row r="236" spans="1:6" x14ac:dyDescent="0.25">
      <c r="A236" s="121">
        <v>97</v>
      </c>
      <c r="B236" s="189" t="str">
        <f ca="1">IF(INDIRECT("'SGO #1(Tiered or Simple)'!B429")=0, " ",INDIRECT("'SGO #1(Tiered or Simple)'!B429"))</f>
        <v xml:space="preserve"> </v>
      </c>
      <c r="C236" s="189"/>
      <c r="D236" s="121">
        <v>131</v>
      </c>
      <c r="E236" s="187" t="str">
        <f ca="1">IF(INDIRECT("'SGO #1(Tiered or Simple)'!B463")=0, " ",INDIRECT("'SGO #1(Tiered or Simple)'!B463"))</f>
        <v xml:space="preserve"> </v>
      </c>
      <c r="F236" s="187"/>
    </row>
    <row r="237" spans="1:6" x14ac:dyDescent="0.25">
      <c r="A237" s="121">
        <v>98</v>
      </c>
      <c r="B237" s="189" t="str">
        <f ca="1">IF(INDIRECT("'SGO #1(Tiered or Simple)'!B430")=0, " ",INDIRECT("'SGO #1(Tiered or Simple)'!B430"))</f>
        <v xml:space="preserve"> </v>
      </c>
      <c r="C237" s="189"/>
      <c r="D237" s="121">
        <v>132</v>
      </c>
      <c r="E237" s="187" t="str">
        <f ca="1">IF(INDIRECT("'SGO #1(Tiered or Simple)'!B464")=0, " ",INDIRECT("'SGO #1(Tiered or Simple)'!B464"))</f>
        <v xml:space="preserve"> </v>
      </c>
      <c r="F237" s="187"/>
    </row>
    <row r="238" spans="1:6" x14ac:dyDescent="0.25">
      <c r="A238" s="121">
        <v>99</v>
      </c>
      <c r="B238" s="189" t="str">
        <f ca="1">IF(INDIRECT("'SGO #1(Tiered or Simple)'!B431")=0, " ",INDIRECT("'SGO #1(Tiered or Simple)'!B431"))</f>
        <v xml:space="preserve"> </v>
      </c>
      <c r="C238" s="189"/>
      <c r="D238" s="121">
        <v>133</v>
      </c>
      <c r="E238" s="187" t="str">
        <f ca="1">IF(INDIRECT("'SGO #1(Tiered or Simple)'!B465")=0, " ",INDIRECT("'SGO #1(Tiered or Simple)'!B465"))</f>
        <v xml:space="preserve"> </v>
      </c>
      <c r="F238" s="187"/>
    </row>
    <row r="239" spans="1:6" x14ac:dyDescent="0.25">
      <c r="A239" s="121">
        <v>100</v>
      </c>
      <c r="B239" s="189" t="str">
        <f ca="1">IF(INDIRECT("'SGO #1(Tiered or Simple)'!B432")=0, " ",INDIRECT("'SGO #1(Tiered or Simple)'!B432"))</f>
        <v xml:space="preserve"> </v>
      </c>
      <c r="C239" s="189"/>
      <c r="D239" s="121">
        <v>134</v>
      </c>
      <c r="E239" s="187" t="str">
        <f ca="1">IF(INDIRECT("'SGO #1(Tiered or Simple)'!B466")=0, " ",INDIRECT("'SGO #1(Tiered or Simple)'!B466"))</f>
        <v xml:space="preserve"> </v>
      </c>
      <c r="F239" s="187"/>
    </row>
    <row r="240" spans="1:6" x14ac:dyDescent="0.25">
      <c r="A240" s="121">
        <v>101</v>
      </c>
      <c r="B240" s="189" t="str">
        <f ca="1">IF(INDIRECT("'SGO #1(Tiered or Simple)'!B433")=0, " ",INDIRECT("'SGO #1(Tiered or Simple)'!B433"))</f>
        <v xml:space="preserve"> </v>
      </c>
      <c r="C240" s="189"/>
      <c r="D240" s="121">
        <v>135</v>
      </c>
      <c r="E240" s="187" t="str">
        <f ca="1">IF(INDIRECT("'SGO #1(Tiered or Simple)'!B467")=0, " ",INDIRECT("'SGO #1(Tiered or Simple)'!B467"))</f>
        <v xml:space="preserve"> </v>
      </c>
      <c r="F240" s="187"/>
    </row>
    <row r="241" spans="1:6" x14ac:dyDescent="0.25">
      <c r="A241" s="121">
        <v>102</v>
      </c>
      <c r="B241" s="189" t="str">
        <f ca="1">IF(INDIRECT("'SGO #1(Tiered or Simple)'!B434")=0, " ",INDIRECT("'SGO #1(Tiered or Simple)'!B434"))</f>
        <v xml:space="preserve"> </v>
      </c>
      <c r="C241" s="189"/>
      <c r="D241" s="121">
        <v>136</v>
      </c>
      <c r="E241" s="187" t="str">
        <f ca="1">IF(INDIRECT("'SGO #1(Tiered or Simple)'!B468")=0, " ",INDIRECT("'SGO #1(Tiered or Simple)'!B468"))</f>
        <v xml:space="preserve"> </v>
      </c>
      <c r="F241" s="187"/>
    </row>
    <row r="242" spans="1:6" x14ac:dyDescent="0.25">
      <c r="A242" s="121">
        <v>103</v>
      </c>
      <c r="B242" s="189" t="str">
        <f ca="1">IF(INDIRECT("'SGO #1(Tiered or Simple)'!B435")=0, " ",INDIRECT("'SGO #1(Tiered or Simple)'!B435"))</f>
        <v xml:space="preserve"> </v>
      </c>
      <c r="C242" s="189"/>
      <c r="D242" s="121">
        <v>137</v>
      </c>
      <c r="E242" s="187" t="str">
        <f ca="1">IF(INDIRECT("'SGO #1(Tiered or Simple)'!B469")=0, " ",INDIRECT("'SGO #1(Tiered or Simple)'!B469"))</f>
        <v xml:space="preserve"> </v>
      </c>
      <c r="F242" s="187"/>
    </row>
    <row r="243" spans="1:6" x14ac:dyDescent="0.25">
      <c r="A243" s="121">
        <v>104</v>
      </c>
      <c r="B243" s="189" t="str">
        <f ca="1">IF(INDIRECT("'SGO #1(Tiered or Simple)'!B436")=0, " ",INDIRECT("'SGO #1(Tiered or Simple)'!B436"))</f>
        <v xml:space="preserve"> </v>
      </c>
      <c r="C243" s="189"/>
      <c r="D243" s="121">
        <v>138</v>
      </c>
      <c r="E243" s="187" t="str">
        <f ca="1">IF(INDIRECT("'SGO #1(Tiered or Simple)'!B470")=0, " ",INDIRECT("'SGO #1(Tiered or Simple)'!B470"))</f>
        <v xml:space="preserve"> </v>
      </c>
      <c r="F243" s="187"/>
    </row>
    <row r="244" spans="1:6" x14ac:dyDescent="0.25">
      <c r="A244" s="121">
        <v>105</v>
      </c>
      <c r="B244" s="189" t="str">
        <f ca="1">IF(INDIRECT("'SGO #1(Tiered or Simple)'!B437")=0, " ",INDIRECT("'SGO #1(Tiered or Simple)'!B437"))</f>
        <v xml:space="preserve"> </v>
      </c>
      <c r="C244" s="189"/>
      <c r="D244" s="121">
        <v>139</v>
      </c>
      <c r="E244" s="187" t="str">
        <f ca="1">IF(INDIRECT("'SGO #1(Tiered or Simple)'!B471")=0, " ",INDIRECT("'SGO #1(Tiered or Simple)'!B471"))</f>
        <v xml:space="preserve"> </v>
      </c>
      <c r="F244" s="187"/>
    </row>
    <row r="245" spans="1:6" x14ac:dyDescent="0.25">
      <c r="A245" s="121">
        <v>106</v>
      </c>
      <c r="B245" s="189" t="str">
        <f ca="1">IF(INDIRECT("'SGO #1(Tiered or Simple)'!B438")=0, " ",INDIRECT("'SGO #1(Tiered or Simple)'!B438"))</f>
        <v xml:space="preserve"> </v>
      </c>
      <c r="C245" s="189"/>
      <c r="D245" s="121">
        <v>140</v>
      </c>
      <c r="E245" s="187" t="str">
        <f ca="1">IF(INDIRECT("'SGO #1(Tiered or Simple)'!B472")=0, " ",INDIRECT("'SGO #1(Tiered or Simple)'!B472"))</f>
        <v xml:space="preserve"> </v>
      </c>
      <c r="F245" s="187"/>
    </row>
    <row r="246" spans="1:6" x14ac:dyDescent="0.25">
      <c r="A246" s="121">
        <v>107</v>
      </c>
      <c r="B246" s="189" t="str">
        <f ca="1">IF(INDIRECT("'SGO #1(Tiered or Simple)'!B439")=0, " ",INDIRECT("'SGO #1(Tiered or Simple)'!B439"))</f>
        <v xml:space="preserve"> </v>
      </c>
      <c r="C246" s="189"/>
      <c r="D246" s="121">
        <v>141</v>
      </c>
      <c r="E246" s="187" t="str">
        <f ca="1">IF(INDIRECT("'SGO #1(Tiered or Simple)'!B473")=0, " ",INDIRECT("'SGO #1(Tiered or Simple)'!B473"))</f>
        <v xml:space="preserve"> </v>
      </c>
      <c r="F246" s="187"/>
    </row>
    <row r="247" spans="1:6" x14ac:dyDescent="0.25">
      <c r="A247" s="121">
        <v>108</v>
      </c>
      <c r="B247" s="189" t="str">
        <f ca="1">IF(INDIRECT("'SGO #1(Tiered or Simple)'!B440")=0, " ",INDIRECT("'SGO #1(Tiered or Simple)'!B440"))</f>
        <v xml:space="preserve"> </v>
      </c>
      <c r="C247" s="189"/>
      <c r="D247" s="121">
        <v>142</v>
      </c>
      <c r="E247" s="187" t="str">
        <f ca="1">IF(INDIRECT("'SGO #1(Tiered or Simple)'!B474")=0, " ",INDIRECT("'SGO #1(Tiered or Simple)'!B474"))</f>
        <v xml:space="preserve"> </v>
      </c>
      <c r="F247" s="187"/>
    </row>
    <row r="248" spans="1:6" x14ac:dyDescent="0.25">
      <c r="A248" s="121">
        <v>109</v>
      </c>
      <c r="B248" s="189" t="str">
        <f ca="1">IF(INDIRECT("'SGO #1(Tiered or Simple)'!B441")=0, " ",INDIRECT("'SGO #1(Tiered or Simple)'!B441"))</f>
        <v xml:space="preserve"> </v>
      </c>
      <c r="C248" s="189"/>
      <c r="D248" s="121">
        <v>143</v>
      </c>
      <c r="E248" s="187" t="str">
        <f ca="1">IF(INDIRECT("'SGO #1(Tiered or Simple)'!B475")=0, " ",INDIRECT("'SGO #1(Tiered or Simple)'!B475"))</f>
        <v xml:space="preserve"> </v>
      </c>
      <c r="F248" s="187"/>
    </row>
    <row r="249" spans="1:6" x14ac:dyDescent="0.25">
      <c r="A249" s="121">
        <v>110</v>
      </c>
      <c r="B249" s="189" t="str">
        <f ca="1">IF(INDIRECT("'SGO #1(Tiered or Simple)'!B442")=0, " ",INDIRECT("'SGO #1(Tiered or Simple)'!B442"))</f>
        <v xml:space="preserve"> </v>
      </c>
      <c r="C249" s="189"/>
      <c r="D249" s="121">
        <v>144</v>
      </c>
      <c r="E249" s="187" t="str">
        <f ca="1">IF(INDIRECT("'SGO #1(Tiered or Simple)'!B476")=0, " ",INDIRECT("'SGO #1(Tiered or Simple)'!B476"))</f>
        <v xml:space="preserve"> </v>
      </c>
      <c r="F249" s="187"/>
    </row>
    <row r="250" spans="1:6" x14ac:dyDescent="0.25">
      <c r="A250" s="121">
        <v>111</v>
      </c>
      <c r="B250" s="189" t="str">
        <f ca="1">IF(INDIRECT("'SGO #1(Tiered or Simple)'!B443")=0, " ",INDIRECT("'SGO #1(Tiered or Simple)'!B443"))</f>
        <v xml:space="preserve"> </v>
      </c>
      <c r="C250" s="189"/>
      <c r="D250" s="121">
        <v>145</v>
      </c>
      <c r="E250" s="187" t="str">
        <f ca="1">IF(INDIRECT("'SGO #1(Tiered or Simple)'!B477")=0, " ",INDIRECT("'SGO #1(Tiered or Simple)'!B477"))</f>
        <v xml:space="preserve"> </v>
      </c>
      <c r="F250" s="187"/>
    </row>
    <row r="251" spans="1:6" x14ac:dyDescent="0.25">
      <c r="A251" s="121">
        <v>112</v>
      </c>
      <c r="B251" s="189" t="str">
        <f ca="1">IF(INDIRECT("'SGO #1(Tiered or Simple)'!B444")=0, " ",INDIRECT("'SGO #1(Tiered or Simple)'!B444"))</f>
        <v xml:space="preserve"> </v>
      </c>
      <c r="C251" s="189"/>
      <c r="D251" s="121">
        <v>146</v>
      </c>
      <c r="E251" s="187" t="str">
        <f ca="1">IF(INDIRECT("'SGO #1(Tiered or Simple)'!B478")=0, " ",INDIRECT("'SGO #1(Tiered or Simple)'!B478"))</f>
        <v xml:space="preserve"> </v>
      </c>
      <c r="F251" s="187"/>
    </row>
    <row r="252" spans="1:6" x14ac:dyDescent="0.25">
      <c r="A252" s="121">
        <v>113</v>
      </c>
      <c r="B252" s="189" t="str">
        <f ca="1">IF(INDIRECT("'SGO #1(Tiered or Simple)'!B445")=0, " ",INDIRECT("'SGO #1(Tiered or Simple)'!B445"))</f>
        <v xml:space="preserve"> </v>
      </c>
      <c r="C252" s="189"/>
      <c r="D252" s="121">
        <v>147</v>
      </c>
      <c r="E252" s="187" t="str">
        <f ca="1">IF(INDIRECT("'SGO #1(Tiered or Simple)'!B479")=0, " ",INDIRECT("'SGO #1(Tiered or Simple)'!B479"))</f>
        <v xml:space="preserve"> </v>
      </c>
      <c r="F252" s="187"/>
    </row>
    <row r="253" spans="1:6" x14ac:dyDescent="0.25">
      <c r="A253" s="121">
        <v>114</v>
      </c>
      <c r="B253" s="189" t="str">
        <f ca="1">IF(INDIRECT("'SGO #1(Tiered or Simple)'!B446")=0, " ",INDIRECT("'SGO #1(Tiered or Simple)'!B446"))</f>
        <v xml:space="preserve"> </v>
      </c>
      <c r="C253" s="189"/>
      <c r="D253" s="121">
        <v>148</v>
      </c>
      <c r="E253" s="187" t="str">
        <f ca="1">IF(INDIRECT("'SGO #1(Tiered or Simple)'!B480")=0, " ",INDIRECT("'SGO #1(Tiered or Simple)'!B480"))</f>
        <v xml:space="preserve"> </v>
      </c>
      <c r="F253" s="187"/>
    </row>
    <row r="254" spans="1:6" x14ac:dyDescent="0.25">
      <c r="A254" s="121">
        <v>115</v>
      </c>
      <c r="B254" s="189" t="str">
        <f ca="1">IF(INDIRECT("'SGO #1(Tiered or Simple)'!B447")=0, " ",INDIRECT("'SGO #1(Tiered or Simple)'!B447"))</f>
        <v xml:space="preserve"> </v>
      </c>
      <c r="C254" s="189"/>
      <c r="D254" s="121">
        <v>149</v>
      </c>
      <c r="E254" s="187" t="str">
        <f ca="1">IF(INDIRECT("'SGO #1(Tiered or Simple)'!B481")=0, " ",INDIRECT("'SGO #1(Tiered or Simple)'!B481"))</f>
        <v xml:space="preserve"> </v>
      </c>
      <c r="F254" s="187"/>
    </row>
    <row r="255" spans="1:6" x14ac:dyDescent="0.25">
      <c r="A255" s="121">
        <v>116</v>
      </c>
      <c r="B255" s="189" t="str">
        <f ca="1">IF(INDIRECT("'SGO #1(Tiered or Simple)'!B448")=0, " ",INDIRECT("'SGO #1(Tiered or Simple)'!B448"))</f>
        <v xml:space="preserve"> </v>
      </c>
      <c r="C255" s="189"/>
      <c r="D255" s="121">
        <v>150</v>
      </c>
      <c r="E255" s="187" t="str">
        <f ca="1">IF(INDIRECT("'SGO #1(Tiered or Simple)'!B482")=0, " ",INDIRECT("'SGO #1(Tiered or Simple)'!B482"))</f>
        <v xml:space="preserve"> </v>
      </c>
      <c r="F255" s="187"/>
    </row>
    <row r="256" spans="1:6" x14ac:dyDescent="0.25">
      <c r="A256" s="121">
        <v>117</v>
      </c>
      <c r="B256" s="189" t="str">
        <f ca="1">IF(INDIRECT("'SGO #1(Tiered or Simple)'!B449")=0, " ",INDIRECT("'SGO #1(Tiered or Simple)'!B449"))</f>
        <v xml:space="preserve"> </v>
      </c>
      <c r="C256" s="189"/>
      <c r="E256" s="188"/>
      <c r="F256" s="188"/>
    </row>
    <row r="257" spans="1:6" x14ac:dyDescent="0.25">
      <c r="A257" s="121">
        <v>118</v>
      </c>
      <c r="B257" s="189" t="str">
        <f ca="1">IF(INDIRECT("'SGO #1(Tiered or Simple)'!B450")=0, " ",INDIRECT("'SGO #1(Tiered or Simple)'!B450"))</f>
        <v xml:space="preserve"> </v>
      </c>
      <c r="C257" s="189"/>
      <c r="E257" s="188"/>
      <c r="F257" s="188"/>
    </row>
    <row r="258" spans="1:6" x14ac:dyDescent="0.25">
      <c r="A258" s="121">
        <v>119</v>
      </c>
      <c r="B258" s="189" t="str">
        <f ca="1">IF(INDIRECT("'SGO #1(Tiered or Simple)'!B451")=0, " ",INDIRECT("'SGO #1(Tiered or Simple)'!B451"))</f>
        <v xml:space="preserve"> </v>
      </c>
      <c r="C258" s="189"/>
      <c r="E258" s="188"/>
      <c r="F258" s="188"/>
    </row>
    <row r="259" spans="1:6" x14ac:dyDescent="0.25">
      <c r="A259" s="121">
        <v>120</v>
      </c>
      <c r="B259" s="189" t="str">
        <f ca="1">IF(INDIRECT("'SGO #1(Tiered or Simple)'!B452")=0, " ",INDIRECT("'SGO #1(Tiered or Simple)'!B452"))</f>
        <v xml:space="preserve"> </v>
      </c>
      <c r="C259" s="189"/>
      <c r="E259" s="188"/>
      <c r="F259" s="188"/>
    </row>
    <row r="260" spans="1:6" x14ac:dyDescent="0.25">
      <c r="E260" s="188"/>
      <c r="F260" s="188"/>
    </row>
    <row r="261" spans="1:6" x14ac:dyDescent="0.25">
      <c r="B261" s="188"/>
      <c r="C261" s="188"/>
      <c r="E261" s="188"/>
      <c r="F261" s="188"/>
    </row>
    <row r="262" spans="1:6" x14ac:dyDescent="0.25">
      <c r="B262" s="188"/>
      <c r="C262" s="188"/>
      <c r="E262" s="188"/>
      <c r="F262" s="188"/>
    </row>
    <row r="263" spans="1:6" x14ac:dyDescent="0.25">
      <c r="B263" s="188"/>
      <c r="C263" s="188"/>
      <c r="E263" s="188"/>
      <c r="F263" s="188"/>
    </row>
    <row r="264" spans="1:6" x14ac:dyDescent="0.25">
      <c r="B264" s="188"/>
      <c r="C264" s="188"/>
      <c r="E264" s="188"/>
      <c r="F264" s="188"/>
    </row>
    <row r="265" spans="1:6" x14ac:dyDescent="0.25">
      <c r="B265" s="188"/>
      <c r="C265" s="188"/>
      <c r="E265" s="188"/>
      <c r="F265" s="188"/>
    </row>
    <row r="266" spans="1:6" ht="15.75" thickBot="1" x14ac:dyDescent="0.3">
      <c r="B266" s="188"/>
      <c r="C266" s="188"/>
      <c r="E266" s="188"/>
      <c r="F266" s="188"/>
    </row>
    <row r="267" spans="1:6" s="72" customFormat="1" ht="32.25" thickBot="1" x14ac:dyDescent="0.55000000000000004">
      <c r="A267" s="198" t="s">
        <v>193</v>
      </c>
      <c r="B267" s="199"/>
      <c r="C267" s="199"/>
      <c r="D267" s="199"/>
      <c r="E267" s="199"/>
      <c r="F267" s="200"/>
    </row>
    <row r="268" spans="1:6" s="72" customFormat="1" ht="32.25" thickBot="1" x14ac:dyDescent="0.55000000000000004">
      <c r="A268" s="198" t="s">
        <v>74</v>
      </c>
      <c r="B268" s="199"/>
      <c r="C268" s="199"/>
      <c r="D268" s="199"/>
      <c r="E268" s="199"/>
      <c r="F268" s="200"/>
    </row>
    <row r="269" spans="1:6" ht="15.75" thickBot="1" x14ac:dyDescent="0.3">
      <c r="A269" s="64"/>
      <c r="B269" s="66"/>
      <c r="C269" s="66"/>
      <c r="D269" s="66"/>
      <c r="E269" s="66"/>
      <c r="F269" s="66"/>
    </row>
    <row r="270" spans="1:6" ht="15.75" thickBot="1" x14ac:dyDescent="0.3">
      <c r="B270" s="67" t="s">
        <v>1</v>
      </c>
      <c r="C270" s="201">
        <f>'SGO calculation(Tiered or Simp)'!G3</f>
        <v>0</v>
      </c>
      <c r="D270" s="202"/>
    </row>
    <row r="271" spans="1:6" ht="15.75" thickBot="1" x14ac:dyDescent="0.3">
      <c r="B271" s="67" t="s">
        <v>194</v>
      </c>
      <c r="C271" s="201">
        <f>'SGO calculation(Tiered or Simp)'!G5</f>
        <v>0</v>
      </c>
      <c r="D271" s="202"/>
    </row>
    <row r="272" spans="1:6" ht="15.75" thickBot="1" x14ac:dyDescent="0.3">
      <c r="B272" s="112"/>
    </row>
    <row r="273" spans="1:6" ht="15.75" thickBot="1" x14ac:dyDescent="0.3">
      <c r="A273" s="190" t="s">
        <v>200</v>
      </c>
      <c r="B273" s="191"/>
      <c r="C273" s="191"/>
      <c r="D273" s="191"/>
      <c r="E273" s="191"/>
      <c r="F273" s="192"/>
    </row>
    <row r="274" spans="1:6" ht="45" x14ac:dyDescent="0.25">
      <c r="A274" s="65"/>
      <c r="B274" s="65" t="s">
        <v>195</v>
      </c>
      <c r="C274" s="65" t="s">
        <v>196</v>
      </c>
      <c r="D274" s="65" t="s">
        <v>345</v>
      </c>
      <c r="E274" s="65" t="s">
        <v>197</v>
      </c>
    </row>
    <row r="275" spans="1:6" x14ac:dyDescent="0.25">
      <c r="B275" s="112" t="s">
        <v>190</v>
      </c>
      <c r="C275" s="113" t="str">
        <f>IF('SGO #2(Tiered or Simple)'!D11=0,"",'SGO #2(Tiered or Simple)'!D11)</f>
        <v/>
      </c>
      <c r="D275" s="120" t="str">
        <f>IF('SGO #2(Tiered or Simple)'!D11=0,"",IF('SGO #2(Tiered or Simple)'!T37=0,'SGO #2(Tiered or Simple)'!S37,'SGO #2(Tiered or Simple)'!U37))</f>
        <v/>
      </c>
      <c r="E275" s="113" t="str">
        <f>IF('SGO #2(Tiered or Simple)'!D11=0,"",'SGO #2(Tiered or Simple)'!I12)</f>
        <v/>
      </c>
    </row>
    <row r="276" spans="1:6" x14ac:dyDescent="0.25">
      <c r="B276" s="112" t="s">
        <v>192</v>
      </c>
      <c r="C276" s="113" t="str">
        <f>IF('SGO #2(Tiered or Simple)'!D14=0,"",'SGO #2(Tiered or Simple)'!D14)</f>
        <v/>
      </c>
      <c r="D276" s="120" t="str">
        <f>IF('SGO #2(Tiered or Simple)'!D14=0,"",IF('SGO #2(Tiered or Simple)'!T38=0,'SGO #2(Tiered or Simple)'!S38,'SGO #2(Tiered or Simple)'!U38))</f>
        <v/>
      </c>
      <c r="E276" s="113" t="str">
        <f>IF('SGO #2(Tiered or Simple)'!D14=0,"",'SGO #2(Tiered or Simple)'!I15)</f>
        <v/>
      </c>
    </row>
    <row r="277" spans="1:6" x14ac:dyDescent="0.25">
      <c r="B277" s="112" t="s">
        <v>28</v>
      </c>
      <c r="C277" s="113" t="str">
        <f>IF('SGO #2(Tiered or Simple)'!D17=0,"",'SGO #2(Tiered or Simple)'!D17)</f>
        <v/>
      </c>
      <c r="D277" s="120" t="str">
        <f>IF('SGO #2(Tiered or Simple)'!D17=0,"",IF('SGO #2(Tiered or Simple)'!T39=0,'SGO #2(Tiered or Simple)'!S39,'SGO #2(Tiered or Simple)'!U39))</f>
        <v/>
      </c>
      <c r="E277" s="113" t="str">
        <f>IF('SGO #2(Tiered or Simple)'!D17=0,"",'SGO #2(Tiered or Simple)'!I18)</f>
        <v/>
      </c>
    </row>
    <row r="279" spans="1:6" x14ac:dyDescent="0.25">
      <c r="B279" s="69" t="s">
        <v>202</v>
      </c>
      <c r="C279" s="112">
        <f>SUM(C275:C277)</f>
        <v>0</v>
      </c>
    </row>
    <row r="280" spans="1:6" ht="15.75" thickBot="1" x14ac:dyDescent="0.3"/>
    <row r="281" spans="1:6" ht="15.75" thickBot="1" x14ac:dyDescent="0.3">
      <c r="A281" s="190" t="s">
        <v>198</v>
      </c>
      <c r="B281" s="191"/>
      <c r="C281" s="191"/>
      <c r="D281" s="191"/>
      <c r="E281" s="191"/>
      <c r="F281" s="192"/>
    </row>
    <row r="282" spans="1:6" ht="30" x14ac:dyDescent="0.25">
      <c r="B282" s="65" t="s">
        <v>195</v>
      </c>
      <c r="C282" s="197" t="s">
        <v>360</v>
      </c>
      <c r="D282" s="197"/>
      <c r="E282" s="197"/>
      <c r="F282" s="197"/>
    </row>
    <row r="283" spans="1:6" ht="15.75" thickBot="1" x14ac:dyDescent="0.3">
      <c r="C283" s="112" t="s">
        <v>6</v>
      </c>
      <c r="D283" s="112" t="s">
        <v>7</v>
      </c>
      <c r="E283" s="112" t="s">
        <v>8</v>
      </c>
      <c r="F283" s="112" t="s">
        <v>199</v>
      </c>
    </row>
    <row r="284" spans="1:6" ht="15.75" thickBot="1" x14ac:dyDescent="0.3">
      <c r="B284" s="112" t="s">
        <v>190</v>
      </c>
      <c r="C284" s="68" t="str">
        <f>IF('SGO #2(Tiered or Simple)'!D11=0,"",'SGO #2(Tiered or Simple)'!H11)</f>
        <v/>
      </c>
      <c r="D284" s="68" t="str">
        <f>IF('SGO #2(Tiered or Simple)'!D11=0,"",'SGO #2(Tiered or Simple)'!I11)</f>
        <v/>
      </c>
      <c r="E284" s="68" t="str">
        <f>IF('SGO #2(Tiered or Simple)'!D11=0,"",'SGO #2(Tiered or Simple)'!J11)</f>
        <v/>
      </c>
      <c r="F284" s="68" t="str">
        <f>IF('SGO #2(Tiered or Simple)'!D11=0,"",'SGO #2(Tiered or Simple)'!K11)</f>
        <v/>
      </c>
    </row>
    <row r="285" spans="1:6" ht="15.75" thickBot="1" x14ac:dyDescent="0.3">
      <c r="B285" s="112"/>
      <c r="C285" s="68" t="str">
        <f>IF('SGO #2(Tiered or Simple)'!D11=0,"",'SGO #2(Tiered or Simple)'!H12)</f>
        <v/>
      </c>
      <c r="D285" s="68" t="str">
        <f>IF('SGO #2(Tiered or Simple)'!D11=0,"",'SGO #2(Tiered or Simple)'!I12)</f>
        <v/>
      </c>
      <c r="E285" s="68" t="str">
        <f>IF('SGO #2(Tiered or Simple)'!D11=0,"",'SGO #2(Tiered or Simple)'!J12)</f>
        <v/>
      </c>
      <c r="F285" s="68" t="str">
        <f>IF('SGO #2(Tiered or Simple)'!D11=0,"",'SGO #2(Tiered or Simple)'!K12)</f>
        <v/>
      </c>
    </row>
    <row r="286" spans="1:6" ht="15.75" thickBot="1" x14ac:dyDescent="0.3">
      <c r="B286" s="112" t="s">
        <v>192</v>
      </c>
      <c r="C286" s="68" t="str">
        <f>IF('SGO #2(Tiered or Simple)'!D14=0,"",'SGO #2(Tiered or Simple)'!H14)</f>
        <v/>
      </c>
      <c r="D286" s="68" t="str">
        <f>IF('SGO #2(Tiered or Simple)'!D14=0,"",'SGO #2(Tiered or Simple)'!I14)</f>
        <v/>
      </c>
      <c r="E286" s="68" t="str">
        <f>IF('SGO #2(Tiered or Simple)'!D14=0,"",'SGO #2(Tiered or Simple)'!J14)</f>
        <v/>
      </c>
      <c r="F286" s="68" t="str">
        <f>IF('SGO #2(Tiered or Simple)'!D14=0,"",'SGO #2(Tiered or Simple)'!K14)</f>
        <v/>
      </c>
    </row>
    <row r="287" spans="1:6" ht="15.75" thickBot="1" x14ac:dyDescent="0.3">
      <c r="B287" s="112"/>
      <c r="C287" s="68" t="str">
        <f>IF('SGO #2(Tiered or Simple)'!D14=0,"",'SGO #2(Tiered or Simple)'!H15)</f>
        <v/>
      </c>
      <c r="D287" s="68" t="str">
        <f>IF('SGO #2(Tiered or Simple)'!D14=0,"",'SGO #2(Tiered or Simple)'!I15)</f>
        <v/>
      </c>
      <c r="E287" s="68" t="str">
        <f>IF('SGO #2(Tiered or Simple)'!D14=0,"",'SGO #2(Tiered or Simple)'!J15)</f>
        <v/>
      </c>
      <c r="F287" s="68" t="str">
        <f>IF('SGO #2(Tiered or Simple)'!D14=0,"",'SGO #2(Tiered or Simple)'!K15)</f>
        <v/>
      </c>
    </row>
    <row r="288" spans="1:6" ht="15.75" thickBot="1" x14ac:dyDescent="0.3">
      <c r="B288" s="112" t="s">
        <v>28</v>
      </c>
      <c r="C288" s="68" t="str">
        <f>IF('SGO #2(Tiered or Simple)'!D17=0,"",'SGO #2(Tiered or Simple)'!H17)</f>
        <v/>
      </c>
      <c r="D288" s="68" t="str">
        <f>IF('SGO #2(Tiered or Simple)'!D17=0,"",'SGO #2(Tiered or Simple)'!I17)</f>
        <v/>
      </c>
      <c r="E288" s="68" t="str">
        <f>IF('SGO #2(Tiered or Simple)'!D17=0,"",'SGO #2(Tiered or Simple)'!J17)</f>
        <v/>
      </c>
      <c r="F288" s="68" t="str">
        <f>IF('SGO #2(Tiered or Simple)'!D17=0,"",'SGO #2(Tiered or Simple)'!K17)</f>
        <v/>
      </c>
    </row>
    <row r="289" spans="1:6" x14ac:dyDescent="0.25">
      <c r="C289" s="68" t="str">
        <f>IF('SGO #2(Tiered or Simple)'!D17=0,"",'SGO #2(Tiered or Simple)'!H18)</f>
        <v/>
      </c>
      <c r="D289" s="68" t="str">
        <f>IF('SGO #2(Tiered or Simple)'!D17=0,"",'SGO #2(Tiered or Simple)'!I18)</f>
        <v/>
      </c>
      <c r="E289" s="68" t="str">
        <f>IF('SGO #2(Tiered or Simple)'!D17=0,"",'SGO #2(Tiered or Simple)'!J18)</f>
        <v/>
      </c>
      <c r="F289" s="68" t="str">
        <f>IF('SGO #2(Tiered or Simple)'!D17=0,"",'SGO #2(Tiered or Simple)'!K18)</f>
        <v/>
      </c>
    </row>
    <row r="290" spans="1:6" ht="15.75" thickBot="1" x14ac:dyDescent="0.3"/>
    <row r="291" spans="1:6" ht="15.75" thickBot="1" x14ac:dyDescent="0.3">
      <c r="A291" s="190" t="s">
        <v>201</v>
      </c>
      <c r="B291" s="191"/>
      <c r="C291" s="191"/>
      <c r="D291" s="191"/>
      <c r="E291" s="191"/>
      <c r="F291" s="192"/>
    </row>
    <row r="292" spans="1:6" ht="15.75" thickBot="1" x14ac:dyDescent="0.3">
      <c r="A292" s="193" t="s">
        <v>190</v>
      </c>
      <c r="B292" s="194"/>
      <c r="C292" s="194"/>
      <c r="D292" s="194"/>
      <c r="E292" s="194"/>
      <c r="F292" s="195"/>
    </row>
    <row r="293" spans="1:6" x14ac:dyDescent="0.25">
      <c r="A293" s="115">
        <v>1</v>
      </c>
      <c r="B293" s="189" t="str">
        <f ca="1">IF(INDIRECT("'SGO #2(Tiered or Simple)'!B29")=0, " ",INDIRECT("'SGO #2(Tiered or Simple)'!B29"))</f>
        <v xml:space="preserve"> </v>
      </c>
      <c r="C293" s="189"/>
      <c r="D293" s="115">
        <v>16</v>
      </c>
      <c r="E293" s="187" t="str">
        <f ca="1">IF(INDIRECT("'SGO #2(Tiered or Simple)'!B44")=0, " ",INDIRECT("'SGO #2(Tiered or Simple)'!B44"))</f>
        <v xml:space="preserve"> </v>
      </c>
      <c r="F293" s="187"/>
    </row>
    <row r="294" spans="1:6" x14ac:dyDescent="0.25">
      <c r="A294" s="115">
        <v>2</v>
      </c>
      <c r="B294" s="189" t="str">
        <f ca="1">IF(INDIRECT("'SGO #2(Tiered or Simple)'!B30")=0, " ",INDIRECT("'SGO #2(Tiered or Simple)'!B30"))</f>
        <v xml:space="preserve"> </v>
      </c>
      <c r="C294" s="189"/>
      <c r="D294" s="115">
        <v>17</v>
      </c>
      <c r="E294" s="187" t="str">
        <f ca="1">IF(INDIRECT("'SGO #2(Tiered or Simple)'!B45")=0, " ",INDIRECT("'SGO #2(Tiered or Simple)'!B45"))</f>
        <v xml:space="preserve"> </v>
      </c>
      <c r="F294" s="187"/>
    </row>
    <row r="295" spans="1:6" x14ac:dyDescent="0.25">
      <c r="A295" s="115">
        <v>3</v>
      </c>
      <c r="B295" s="189" t="str">
        <f ca="1">IF(INDIRECT("'SGO #2(Tiered or Simple)'!B31")=0, " ",INDIRECT("'SGO #2(Tiered or Simple)'!B31"))</f>
        <v xml:space="preserve"> </v>
      </c>
      <c r="C295" s="189"/>
      <c r="D295" s="115">
        <v>18</v>
      </c>
      <c r="E295" s="187" t="str">
        <f ca="1">IF(INDIRECT("'SGO #2(Tiered or Simple)'!B46")=0, " ",INDIRECT("'SGO #2(Tiered or Simple)'!B46"))</f>
        <v xml:space="preserve"> </v>
      </c>
      <c r="F295" s="187"/>
    </row>
    <row r="296" spans="1:6" x14ac:dyDescent="0.25">
      <c r="A296" s="115">
        <v>4</v>
      </c>
      <c r="B296" s="189" t="str">
        <f ca="1">IF(INDIRECT("'SGO #2(Tiered or Simple)'!B32")=0, " ",INDIRECT("'SGO #2(Tiered or Simple)'!B32"))</f>
        <v xml:space="preserve"> </v>
      </c>
      <c r="C296" s="189"/>
      <c r="D296" s="115">
        <v>19</v>
      </c>
      <c r="E296" s="187" t="str">
        <f ca="1">IF(INDIRECT("'SGO #2(Tiered or Simple)'!B47")=0, " ",INDIRECT("'SGO #2(Tiered or Simple)'!B47"))</f>
        <v xml:space="preserve"> </v>
      </c>
      <c r="F296" s="187"/>
    </row>
    <row r="297" spans="1:6" x14ac:dyDescent="0.25">
      <c r="A297" s="115">
        <v>5</v>
      </c>
      <c r="B297" s="189" t="str">
        <f ca="1">IF(INDIRECT("'SGO #2(Tiered or Simple)'!B33")=0, " ",INDIRECT("'SGO #2(Tiered or Simple)'!B33"))</f>
        <v xml:space="preserve"> </v>
      </c>
      <c r="C297" s="189"/>
      <c r="D297" s="115">
        <v>20</v>
      </c>
      <c r="E297" s="187" t="str">
        <f ca="1">IF(INDIRECT("'SGO #2(Tiered or Simple)'!B48")=0, " ",INDIRECT("'SGO #2(Tiered or Simple)'!B48"))</f>
        <v xml:space="preserve"> </v>
      </c>
      <c r="F297" s="187"/>
    </row>
    <row r="298" spans="1:6" x14ac:dyDescent="0.25">
      <c r="A298" s="115">
        <v>6</v>
      </c>
      <c r="B298" s="189" t="str">
        <f ca="1">IF(INDIRECT("'SGO #2(Tiered or Simple)'!B34")=0, " ",INDIRECT("'SGO #2(Tiered or Simple)'!B34"))</f>
        <v xml:space="preserve"> </v>
      </c>
      <c r="C298" s="189"/>
      <c r="D298" s="115">
        <v>21</v>
      </c>
      <c r="E298" s="187" t="str">
        <f ca="1">IF(INDIRECT("'SGO #2(Tiered or Simple)'!B49")=0, " ",INDIRECT("'SGO #2(Tiered or Simple)'!B49"))</f>
        <v xml:space="preserve"> </v>
      </c>
      <c r="F298" s="187"/>
    </row>
    <row r="299" spans="1:6" x14ac:dyDescent="0.25">
      <c r="A299" s="115">
        <v>7</v>
      </c>
      <c r="B299" s="189" t="str">
        <f ca="1">IF(INDIRECT("'SGO #2(Tiered or Simple)'!B35")=0, " ",INDIRECT("'SGO #2(Tiered or Simple)'!B35"))</f>
        <v xml:space="preserve"> </v>
      </c>
      <c r="C299" s="189"/>
      <c r="D299" s="115">
        <v>22</v>
      </c>
      <c r="E299" s="187" t="str">
        <f ca="1">IF(INDIRECT("'SGO #2(Tiered or Simple)'!B50")=0, " ",INDIRECT("'SGO #2(Tiered or Simple)'!B50"))</f>
        <v xml:space="preserve"> </v>
      </c>
      <c r="F299" s="187"/>
    </row>
    <row r="300" spans="1:6" x14ac:dyDescent="0.25">
      <c r="A300" s="115">
        <v>8</v>
      </c>
      <c r="B300" s="189" t="str">
        <f ca="1">IF(INDIRECT("'SGO #2(Tiered or Simple)'!B36")=0, " ",INDIRECT("'SGO #2(Tiered or Simple)'!B36"))</f>
        <v xml:space="preserve"> </v>
      </c>
      <c r="C300" s="189"/>
      <c r="D300" s="115">
        <v>23</v>
      </c>
      <c r="E300" s="187" t="str">
        <f ca="1">IF(INDIRECT("'SGO #2(Tiered or Simple)'!B51")=0, " ",INDIRECT("'SGO #2(Tiered or Simple)'!B51"))</f>
        <v xml:space="preserve"> </v>
      </c>
      <c r="F300" s="187"/>
    </row>
    <row r="301" spans="1:6" x14ac:dyDescent="0.25">
      <c r="A301" s="115">
        <v>9</v>
      </c>
      <c r="B301" s="189" t="str">
        <f ca="1">IF(INDIRECT("'SGO #2(Tiered or Simple)'!B37")=0, " ",INDIRECT("'SGO #2(Tiered or Simple)'!B37"))</f>
        <v xml:space="preserve"> </v>
      </c>
      <c r="C301" s="189"/>
      <c r="D301" s="115">
        <v>24</v>
      </c>
      <c r="E301" s="187" t="str">
        <f ca="1">IF(INDIRECT("'SGO #2(Tiered or Simple)'!B52")=0, " ",INDIRECT("'SGO #2(Tiered or Simple)'!B52"))</f>
        <v xml:space="preserve"> </v>
      </c>
      <c r="F301" s="187"/>
    </row>
    <row r="302" spans="1:6" x14ac:dyDescent="0.25">
      <c r="A302" s="115">
        <v>10</v>
      </c>
      <c r="B302" s="189" t="str">
        <f ca="1">IF(INDIRECT("'SGO #2(Tiered or Simple)'!B38")=0, " ",INDIRECT("'SGO #2(Tiered or Simple)'!B38"))</f>
        <v xml:space="preserve"> </v>
      </c>
      <c r="C302" s="189"/>
      <c r="D302" s="115">
        <v>25</v>
      </c>
      <c r="E302" s="187" t="str">
        <f ca="1">IF(INDIRECT("'SGO #2(Tiered or Simple)'!B53")=0, " ",INDIRECT("'SGO #2(Tiered or Simple)'!B53"))</f>
        <v xml:space="preserve"> </v>
      </c>
      <c r="F302" s="187"/>
    </row>
    <row r="303" spans="1:6" x14ac:dyDescent="0.25">
      <c r="A303" s="115">
        <v>11</v>
      </c>
      <c r="B303" s="189" t="str">
        <f ca="1">IF(INDIRECT("'SGO #2(Tiered or Simple)'!B39")=0, " ",INDIRECT("'SGO #2(Tiered or Simple)'!B39"))</f>
        <v xml:space="preserve"> </v>
      </c>
      <c r="C303" s="189"/>
      <c r="D303" s="115">
        <v>26</v>
      </c>
      <c r="E303" s="187" t="str">
        <f ca="1">IF(INDIRECT("'SGO #2(Tiered or Simple)'!B54")=0, " ",INDIRECT("'SGO #2(Tiered or Simple)'!B54"))</f>
        <v xml:space="preserve"> </v>
      </c>
      <c r="F303" s="187"/>
    </row>
    <row r="304" spans="1:6" x14ac:dyDescent="0.25">
      <c r="A304" s="115">
        <v>12</v>
      </c>
      <c r="B304" s="189" t="str">
        <f ca="1">IF(INDIRECT("'SGO #2(Tiered or Simple)'!B40")=0, " ",INDIRECT("'SGO #2(Tiered or Simple)'!B40"))</f>
        <v xml:space="preserve"> </v>
      </c>
      <c r="C304" s="189"/>
      <c r="D304" s="115">
        <v>27</v>
      </c>
      <c r="E304" s="187" t="str">
        <f ca="1">IF(INDIRECT("'SGO #2(Tiered or Simple)'!B55")=0, " ",INDIRECT("'SGO #2(Tiered or Simple)'!B55"))</f>
        <v xml:space="preserve"> </v>
      </c>
      <c r="F304" s="187"/>
    </row>
    <row r="305" spans="1:6" x14ac:dyDescent="0.25">
      <c r="A305" s="115">
        <v>13</v>
      </c>
      <c r="B305" s="189" t="str">
        <f ca="1">IF(INDIRECT("'SGO #2(Tiered or Simple)'!B41")=0, " ",INDIRECT("'SGO #2(Tiered or Simple)'!B41"))</f>
        <v xml:space="preserve"> </v>
      </c>
      <c r="C305" s="189"/>
      <c r="D305" s="115">
        <v>28</v>
      </c>
      <c r="E305" s="187" t="str">
        <f ca="1">IF(INDIRECT("'SGO #2(Tiered or Simple)'!B56")=0, " ",INDIRECT("'SGO #2(Tiered or Simple)'!B56"))</f>
        <v xml:space="preserve"> </v>
      </c>
      <c r="F305" s="187"/>
    </row>
    <row r="306" spans="1:6" x14ac:dyDescent="0.25">
      <c r="A306" s="115">
        <v>14</v>
      </c>
      <c r="B306" s="189" t="str">
        <f ca="1">IF(INDIRECT("'SGO #2(Tiered or Simple)'!B42")=0, " ",INDIRECT("'SGO #2(Tiered or Simple)'!B42"))</f>
        <v xml:space="preserve"> </v>
      </c>
      <c r="C306" s="189"/>
      <c r="D306" s="115">
        <v>29</v>
      </c>
      <c r="E306" s="187" t="str">
        <f ca="1">IF(INDIRECT("'SGO #2(Tiered or Simple)'!B57")=0, " ",INDIRECT("'SGO #2(Tiered or Simple)'!B57"))</f>
        <v xml:space="preserve"> </v>
      </c>
      <c r="F306" s="187"/>
    </row>
    <row r="307" spans="1:6" x14ac:dyDescent="0.25">
      <c r="A307" s="115">
        <v>15</v>
      </c>
      <c r="B307" s="189" t="str">
        <f ca="1">IF(INDIRECT("'SGO #2(Tiered or Simple)'!B43")=0, " ",INDIRECT("'SGO #2(Tiered or Simple)'!B43"))</f>
        <v xml:space="preserve"> </v>
      </c>
      <c r="C307" s="189"/>
      <c r="D307" s="115">
        <v>30</v>
      </c>
      <c r="E307" s="187" t="str">
        <f ca="1">IF(INDIRECT("'SGO #2(Tiered or Simple)'!B58")=0, " ",INDIRECT("'SGO #2(Tiered or Simple)'!B58"))</f>
        <v xml:space="preserve"> </v>
      </c>
      <c r="F307" s="187"/>
    </row>
    <row r="308" spans="1:6" x14ac:dyDescent="0.25">
      <c r="A308" s="115">
        <v>31</v>
      </c>
      <c r="B308" s="189" t="str">
        <f ca="1">IF(INDIRECT("'SGO #2(Tiered or Simple)'!B59")=0, " ",INDIRECT("'SGO #2(Tiered or Simple)'!B59"))</f>
        <v xml:space="preserve"> </v>
      </c>
      <c r="C308" s="189"/>
      <c r="D308" s="115">
        <v>78</v>
      </c>
      <c r="E308" s="187" t="str">
        <f ca="1">IF(INDIRECT("'SGO #2(Tiered or Simple)'!B106")=0, " ",INDIRECT("'SGO #2(Tiered or Simple)'!B106"))</f>
        <v xml:space="preserve"> </v>
      </c>
      <c r="F308" s="187"/>
    </row>
    <row r="309" spans="1:6" x14ac:dyDescent="0.25">
      <c r="A309" s="115">
        <v>32</v>
      </c>
      <c r="B309" s="189" t="str">
        <f ca="1">IF(INDIRECT("'SGO #2(Tiered or Simple)'!B60")=0, " ",INDIRECT("'SGO #2(Tiered or Simple)'!B60"))</f>
        <v xml:space="preserve"> </v>
      </c>
      <c r="C309" s="189"/>
      <c r="D309" s="115">
        <v>79</v>
      </c>
      <c r="E309" s="187" t="str">
        <f ca="1">IF(INDIRECT("'SGO #2(Tiered or Simple)'!B107")=0, " ",INDIRECT("'SGO #2(Tiered or Simple)'!B107"))</f>
        <v xml:space="preserve"> </v>
      </c>
      <c r="F309" s="187"/>
    </row>
    <row r="310" spans="1:6" x14ac:dyDescent="0.25">
      <c r="A310" s="115">
        <v>33</v>
      </c>
      <c r="B310" s="189" t="str">
        <f ca="1">IF(INDIRECT("'SGO #2(Tiered or Simple)'!B61")=0, " ",INDIRECT("'SGO #2(Tiered or Simple)'!B61"))</f>
        <v xml:space="preserve"> </v>
      </c>
      <c r="C310" s="189"/>
      <c r="D310" s="115">
        <v>80</v>
      </c>
      <c r="E310" s="187" t="str">
        <f ca="1">IF(INDIRECT("'SGO #2(Tiered or Simple)'!B108")=0, " ",INDIRECT("'SGO #2(Tiered or Simple)'!B108"))</f>
        <v xml:space="preserve"> </v>
      </c>
      <c r="F310" s="187"/>
    </row>
    <row r="311" spans="1:6" x14ac:dyDescent="0.25">
      <c r="A311" s="115">
        <v>34</v>
      </c>
      <c r="B311" s="189" t="str">
        <f ca="1">IF(INDIRECT("'SGO #2(Tiered or Simple)'!B62")=0, " ",INDIRECT("'SGO #2(Tiered or Simple)'!B62"))</f>
        <v xml:space="preserve"> </v>
      </c>
      <c r="C311" s="189"/>
      <c r="D311" s="115">
        <v>81</v>
      </c>
      <c r="E311" s="187" t="str">
        <f ca="1">IF(INDIRECT("'SGO #2(Tiered or Simple)'!B109")=0, " ",INDIRECT("'SGO #2(Tiered or Simple)'!B109"))</f>
        <v xml:space="preserve"> </v>
      </c>
      <c r="F311" s="187"/>
    </row>
    <row r="312" spans="1:6" x14ac:dyDescent="0.25">
      <c r="A312" s="115">
        <v>35</v>
      </c>
      <c r="B312" s="189" t="str">
        <f ca="1">IF(INDIRECT("'SGO #2(Tiered or Simple)'!B63")=0, " ",INDIRECT("'SGO #2(Tiered or Simple)'!B63"))</f>
        <v xml:space="preserve"> </v>
      </c>
      <c r="C312" s="189"/>
      <c r="D312" s="115">
        <v>82</v>
      </c>
      <c r="E312" s="187" t="str">
        <f ca="1">IF(INDIRECT("'SGO #2(Tiered or Simple)'!B110")=0, " ",INDIRECT("'SGO #2(Tiered or Simple)'!B110"))</f>
        <v xml:space="preserve"> </v>
      </c>
      <c r="F312" s="187"/>
    </row>
    <row r="313" spans="1:6" x14ac:dyDescent="0.25">
      <c r="A313" s="115">
        <v>36</v>
      </c>
      <c r="B313" s="189" t="str">
        <f ca="1">IF(INDIRECT("'SGO #2(Tiered or Simple)'!B64")=0, " ",INDIRECT("'SGO #2(Tiered or Simple)'!B64"))</f>
        <v xml:space="preserve"> </v>
      </c>
      <c r="C313" s="189"/>
      <c r="D313" s="115">
        <v>83</v>
      </c>
      <c r="E313" s="187" t="str">
        <f ca="1">IF(INDIRECT("'SGO #2(Tiered or Simple)'!B111")=0, " ",INDIRECT("'SGO #2(Tiered or Simple)'!B111"))</f>
        <v xml:space="preserve"> </v>
      </c>
      <c r="F313" s="187"/>
    </row>
    <row r="314" spans="1:6" x14ac:dyDescent="0.25">
      <c r="A314" s="115">
        <v>37</v>
      </c>
      <c r="B314" s="189" t="str">
        <f ca="1">IF(INDIRECT("'SGO #2(Tiered or Simple)'!B65")=0, " ",INDIRECT("'SGO #2(Tiered or Simple)'!B65"))</f>
        <v xml:space="preserve"> </v>
      </c>
      <c r="C314" s="189"/>
      <c r="D314" s="115">
        <v>84</v>
      </c>
      <c r="E314" s="187" t="str">
        <f ca="1">IF(INDIRECT("'SGO #2(Tiered or Simple)'!B112")=0, " ",INDIRECT("'SGO #2(Tiered or Simple)'!B112"))</f>
        <v xml:space="preserve"> </v>
      </c>
      <c r="F314" s="187"/>
    </row>
    <row r="315" spans="1:6" x14ac:dyDescent="0.25">
      <c r="A315" s="115">
        <v>38</v>
      </c>
      <c r="B315" s="189" t="str">
        <f ca="1">IF(INDIRECT("'SGO #2(Tiered or Simple)'!B66")=0, " ",INDIRECT("'SGO #2(Tiered or Simple)'!B66"))</f>
        <v xml:space="preserve"> </v>
      </c>
      <c r="C315" s="189"/>
      <c r="D315" s="115">
        <v>85</v>
      </c>
      <c r="E315" s="187" t="str">
        <f ca="1">IF(INDIRECT("'SGO #2(Tiered or Simple)'!B113")=0, " ",INDIRECT("'SGO #2(Tiered or Simple)'!B113"))</f>
        <v xml:space="preserve"> </v>
      </c>
      <c r="F315" s="187"/>
    </row>
    <row r="316" spans="1:6" x14ac:dyDescent="0.25">
      <c r="A316" s="115">
        <v>39</v>
      </c>
      <c r="B316" s="189" t="str">
        <f ca="1">IF(INDIRECT("'SGO #2(Tiered or Simple)'!B67")=0, " ",INDIRECT("'SGO #2(Tiered or Simple)'!B67"))</f>
        <v xml:space="preserve"> </v>
      </c>
      <c r="C316" s="189"/>
      <c r="D316" s="115">
        <v>86</v>
      </c>
      <c r="E316" s="187" t="str">
        <f ca="1">IF(INDIRECT("'SGO #2(Tiered or Simple)'!B114")=0, " ",INDIRECT("'SGO #2(Tiered or Simple)'!B114"))</f>
        <v xml:space="preserve"> </v>
      </c>
      <c r="F316" s="187"/>
    </row>
    <row r="317" spans="1:6" x14ac:dyDescent="0.25">
      <c r="A317" s="115">
        <v>40</v>
      </c>
      <c r="B317" s="189" t="str">
        <f ca="1">IF(INDIRECT("'SGO #2(Tiered or Simple)'!B68")=0, " ",INDIRECT("'SGO #2(Tiered or Simple)'!B68"))</f>
        <v xml:space="preserve"> </v>
      </c>
      <c r="C317" s="189"/>
      <c r="D317" s="115">
        <v>87</v>
      </c>
      <c r="E317" s="187" t="str">
        <f ca="1">IF(INDIRECT("'SGO #2(Tiered or Simple)'!B115")=0, " ",INDIRECT("'SGO #2(Tiered or Simple)'!B115"))</f>
        <v xml:space="preserve"> </v>
      </c>
      <c r="F317" s="187"/>
    </row>
    <row r="318" spans="1:6" x14ac:dyDescent="0.25">
      <c r="A318" s="115">
        <v>41</v>
      </c>
      <c r="B318" s="189" t="str">
        <f ca="1">IF(INDIRECT("'SGO #2(Tiered or Simple)'!B69")=0, " ",INDIRECT("'SGO #2(Tiered or Simple)'!B69"))</f>
        <v xml:space="preserve"> </v>
      </c>
      <c r="C318" s="189"/>
      <c r="D318" s="115">
        <v>88</v>
      </c>
      <c r="E318" s="187" t="str">
        <f ca="1">IF(INDIRECT("'SGO #2(Tiered or Simple)'!B116")=0, " ",INDIRECT("'SGO #2(Tiered or Simple)'!B116"))</f>
        <v xml:space="preserve"> </v>
      </c>
      <c r="F318" s="187"/>
    </row>
    <row r="319" spans="1:6" x14ac:dyDescent="0.25">
      <c r="A319" s="115">
        <v>42</v>
      </c>
      <c r="B319" s="189" t="str">
        <f ca="1">IF(INDIRECT("'SGO #2(Tiered or Simple)'!B70")=0, " ",INDIRECT("'SGO #2(Tiered or Simple)'!B70"))</f>
        <v xml:space="preserve"> </v>
      </c>
      <c r="C319" s="189"/>
      <c r="D319" s="115">
        <v>89</v>
      </c>
      <c r="E319" s="187" t="str">
        <f ca="1">IF(INDIRECT("'SGO #2(Tiered or Simple)'!B117")=0, " ",INDIRECT("'SGO #2(Tiered or Simple)'!B117"))</f>
        <v xml:space="preserve"> </v>
      </c>
      <c r="F319" s="187"/>
    </row>
    <row r="320" spans="1:6" x14ac:dyDescent="0.25">
      <c r="A320" s="115">
        <v>43</v>
      </c>
      <c r="B320" s="189" t="str">
        <f ca="1">IF(INDIRECT("'SGO #2(Tiered or Simple)'!B71")=0, " ",INDIRECT("'SGO #2(Tiered or Simple)'!B71"))</f>
        <v xml:space="preserve"> </v>
      </c>
      <c r="C320" s="189"/>
      <c r="D320" s="115">
        <v>90</v>
      </c>
      <c r="E320" s="187" t="str">
        <f ca="1">IF(INDIRECT("'SGO #2(Tiered or Simple)'!B118")=0, " ",INDIRECT("'SGO #2(Tiered or Simple)'!B118"))</f>
        <v xml:space="preserve"> </v>
      </c>
      <c r="F320" s="187"/>
    </row>
    <row r="321" spans="1:6" x14ac:dyDescent="0.25">
      <c r="A321" s="115">
        <v>44</v>
      </c>
      <c r="B321" s="189" t="str">
        <f ca="1">IF(INDIRECT("'SGO #2(Tiered or Simple)'!B72")=0, " ",INDIRECT("'SGO #2(Tiered or Simple)'!B72"))</f>
        <v xml:space="preserve"> </v>
      </c>
      <c r="C321" s="189"/>
      <c r="D321" s="115">
        <v>91</v>
      </c>
      <c r="E321" s="187" t="str">
        <f ca="1">IF(INDIRECT("'SGO #2(Tiered or Simple)'!B119")=0, " ",INDIRECT("'SGO #2(Tiered or Simple)'!B119"))</f>
        <v xml:space="preserve"> </v>
      </c>
      <c r="F321" s="187"/>
    </row>
    <row r="322" spans="1:6" x14ac:dyDescent="0.25">
      <c r="A322" s="115">
        <v>45</v>
      </c>
      <c r="B322" s="189" t="str">
        <f ca="1">IF(INDIRECT("'SGO #2(Tiered or Simple)'!B73")=0, " ",INDIRECT("'SGO #2(Tiered or Simple)'!B73"))</f>
        <v xml:space="preserve"> </v>
      </c>
      <c r="C322" s="189"/>
      <c r="D322" s="115">
        <v>92</v>
      </c>
      <c r="E322" s="187" t="str">
        <f ca="1">IF(INDIRECT("'SGO #2(Tiered or Simple)'!B120")=0, " ",INDIRECT("'SGO #2(Tiered or Simple)'!B120"))</f>
        <v xml:space="preserve"> </v>
      </c>
      <c r="F322" s="187"/>
    </row>
    <row r="323" spans="1:6" x14ac:dyDescent="0.25">
      <c r="A323" s="115">
        <v>46</v>
      </c>
      <c r="B323" s="189" t="str">
        <f ca="1">IF(INDIRECT("'SGO #2(Tiered or Simple)'!B74")=0, " ",INDIRECT("'SGO #2(Tiered or Simple)'!B74"))</f>
        <v xml:space="preserve"> </v>
      </c>
      <c r="C323" s="189"/>
      <c r="D323" s="115">
        <v>93</v>
      </c>
      <c r="E323" s="187" t="str">
        <f ca="1">IF(INDIRECT("'SGO #2(Tiered or Simple)'!B121")=0, " ",INDIRECT("'SGO #2(Tiered or Simple)'!B121"))</f>
        <v xml:space="preserve"> </v>
      </c>
      <c r="F323" s="187"/>
    </row>
    <row r="324" spans="1:6" x14ac:dyDescent="0.25">
      <c r="A324" s="115">
        <v>47</v>
      </c>
      <c r="B324" s="189" t="str">
        <f ca="1">IF(INDIRECT("'SGO #2(Tiered or Simple)'!B75")=0, " ",INDIRECT("'SGO #2(Tiered or Simple)'!B75"))</f>
        <v xml:space="preserve"> </v>
      </c>
      <c r="C324" s="189"/>
      <c r="D324" s="115">
        <v>94</v>
      </c>
      <c r="E324" s="187" t="str">
        <f ca="1">IF(INDIRECT("'SGO #2(Tiered or Simple)'!B122")=0, " ",INDIRECT("'SGO #2(Tiered or Simple)'!B122"))</f>
        <v xml:space="preserve"> </v>
      </c>
      <c r="F324" s="187"/>
    </row>
    <row r="325" spans="1:6" x14ac:dyDescent="0.25">
      <c r="A325" s="115">
        <v>48</v>
      </c>
      <c r="B325" s="189" t="str">
        <f ca="1">IF(INDIRECT("'SGO #2(Tiered or Simple)'!B76")=0, " ",INDIRECT("'SGO #2(Tiered or Simple)'!B76"))</f>
        <v xml:space="preserve"> </v>
      </c>
      <c r="C325" s="189"/>
      <c r="D325" s="115">
        <v>95</v>
      </c>
      <c r="E325" s="187" t="str">
        <f ca="1">IF(INDIRECT("'SGO #2(Tiered or Simple)'!B123")=0, " ",INDIRECT("'SGO #2(Tiered or Simple)'!B123"))</f>
        <v xml:space="preserve"> </v>
      </c>
      <c r="F325" s="187"/>
    </row>
    <row r="326" spans="1:6" x14ac:dyDescent="0.25">
      <c r="A326" s="115">
        <v>49</v>
      </c>
      <c r="B326" s="189" t="str">
        <f ca="1">IF(INDIRECT("'SGO #2(Tiered or Simple)'!B77")=0, " ",INDIRECT("'SGO #2(Tiered or Simple)'!B77"))</f>
        <v xml:space="preserve"> </v>
      </c>
      <c r="C326" s="189"/>
      <c r="D326" s="115">
        <v>96</v>
      </c>
      <c r="E326" s="187" t="str">
        <f ca="1">IF(INDIRECT("'SGO #2(Tiered or Simple)'!B124")=0, " ",INDIRECT("'SGO #2(Tiered or Simple)'!B124"))</f>
        <v xml:space="preserve"> </v>
      </c>
      <c r="F326" s="187"/>
    </row>
    <row r="327" spans="1:6" x14ac:dyDescent="0.25">
      <c r="A327" s="115">
        <v>50</v>
      </c>
      <c r="B327" s="189" t="str">
        <f ca="1">IF(INDIRECT("'SGO #2(Tiered or Simple)'!B78")=0, " ",INDIRECT("'SGO #2(Tiered or Simple)'!B78"))</f>
        <v xml:space="preserve"> </v>
      </c>
      <c r="C327" s="189"/>
      <c r="D327" s="115">
        <v>97</v>
      </c>
      <c r="E327" s="187" t="str">
        <f ca="1">IF(INDIRECT("'SGO #2(Tiered or Simple)'!B125")=0, " ",INDIRECT("'SGO #2(Tiered or Simple)'!B125"))</f>
        <v xml:space="preserve"> </v>
      </c>
      <c r="F327" s="187"/>
    </row>
    <row r="328" spans="1:6" x14ac:dyDescent="0.25">
      <c r="A328" s="115">
        <v>51</v>
      </c>
      <c r="B328" s="189" t="str">
        <f ca="1">IF(INDIRECT("'SGO #2(Tiered or Simple)'!B79")=0, " ",INDIRECT("'SGO #2(Tiered or Simple)'!B79"))</f>
        <v xml:space="preserve"> </v>
      </c>
      <c r="C328" s="189"/>
      <c r="D328" s="115">
        <v>98</v>
      </c>
      <c r="E328" s="187" t="str">
        <f ca="1">IF(INDIRECT("'SGO #2(Tiered or Simple)'!B126")=0, " ",INDIRECT("'SGO #2(Tiered or Simple)'!B126"))</f>
        <v xml:space="preserve"> </v>
      </c>
      <c r="F328" s="187"/>
    </row>
    <row r="329" spans="1:6" x14ac:dyDescent="0.25">
      <c r="A329" s="115">
        <v>52</v>
      </c>
      <c r="B329" s="189" t="str">
        <f ca="1">IF(INDIRECT("'SGO #2(Tiered or Simple)'!B80")=0, " ",INDIRECT("'SGO #2(Tiered or Simple)'!B80"))</f>
        <v xml:space="preserve"> </v>
      </c>
      <c r="C329" s="189"/>
      <c r="D329" s="115">
        <v>99</v>
      </c>
      <c r="E329" s="187" t="str">
        <f ca="1">IF(INDIRECT("'SGO #2(Tiered or Simple)'!B127")=0, " ",INDIRECT("'SGO #2(Tiered or Simple)'!B127"))</f>
        <v xml:space="preserve"> </v>
      </c>
      <c r="F329" s="187"/>
    </row>
    <row r="330" spans="1:6" x14ac:dyDescent="0.25">
      <c r="A330" s="115">
        <v>53</v>
      </c>
      <c r="B330" s="189" t="str">
        <f ca="1">IF(INDIRECT("'SGO #2(Tiered or Simple)'!B81")=0, " ",INDIRECT("'SGO #2(Tiered or Simple)'!B81"))</f>
        <v xml:space="preserve"> </v>
      </c>
      <c r="C330" s="189"/>
      <c r="D330" s="115">
        <v>100</v>
      </c>
      <c r="E330" s="187" t="str">
        <f ca="1">IF(INDIRECT("'SGO #2(Tiered or Simple)'!B128")=0, " ",INDIRECT("'SGO #2(Tiered or Simple)'!B128"))</f>
        <v xml:space="preserve"> </v>
      </c>
      <c r="F330" s="187"/>
    </row>
    <row r="331" spans="1:6" x14ac:dyDescent="0.25">
      <c r="A331" s="115">
        <v>54</v>
      </c>
      <c r="B331" s="189" t="str">
        <f ca="1">IF(INDIRECT("'SGO #2(Tiered or Simple)'!B82")=0, " ",INDIRECT("'SGO #2(Tiered or Simple)'!B82"))</f>
        <v xml:space="preserve"> </v>
      </c>
      <c r="C331" s="189"/>
      <c r="D331" s="115">
        <v>101</v>
      </c>
      <c r="E331" s="187" t="str">
        <f ca="1">IF(INDIRECT("'SGO #2(Tiered or Simple)'!B129")=0, " ",INDIRECT("'SGO #2(Tiered or Simple)'!B129"))</f>
        <v xml:space="preserve"> </v>
      </c>
      <c r="F331" s="187"/>
    </row>
    <row r="332" spans="1:6" x14ac:dyDescent="0.25">
      <c r="A332" s="115">
        <v>55</v>
      </c>
      <c r="B332" s="189" t="str">
        <f ca="1">IF(INDIRECT("'SGO #2(Tiered or Simple)'!B83")=0, " ",INDIRECT("'SGO #2(Tiered or Simple)'!B83"))</f>
        <v xml:space="preserve"> </v>
      </c>
      <c r="C332" s="189"/>
      <c r="D332" s="115">
        <v>102</v>
      </c>
      <c r="E332" s="187" t="str">
        <f ca="1">IF(INDIRECT("'SGO #2(Tiered or Simple)'!B130")=0, " ",INDIRECT("'SGO #2(Tiered or Simple)'!B130"))</f>
        <v xml:space="preserve"> </v>
      </c>
      <c r="F332" s="187"/>
    </row>
    <row r="333" spans="1:6" x14ac:dyDescent="0.25">
      <c r="A333" s="115">
        <v>56</v>
      </c>
      <c r="B333" s="189" t="str">
        <f ca="1">IF(INDIRECT("'SGO #2(Tiered or Simple)'!B84")=0, " ",INDIRECT("'SGO #2(Tiered or Simple)'!B84"))</f>
        <v xml:space="preserve"> </v>
      </c>
      <c r="C333" s="189"/>
      <c r="D333" s="115">
        <v>103</v>
      </c>
      <c r="E333" s="187" t="str">
        <f ca="1">IF(INDIRECT("'SGO #2(Tiered or Simple)'!B131")=0, " ",INDIRECT("'SGO #2(Tiered or Simple)'!B131"))</f>
        <v xml:space="preserve"> </v>
      </c>
      <c r="F333" s="187"/>
    </row>
    <row r="334" spans="1:6" x14ac:dyDescent="0.25">
      <c r="A334" s="115">
        <v>57</v>
      </c>
      <c r="B334" s="189" t="str">
        <f ca="1">IF(INDIRECT("'SGO #2(Tiered or Simple)'!B85")=0, " ",INDIRECT("'SGO #2(Tiered or Simple)'!B85"))</f>
        <v xml:space="preserve"> </v>
      </c>
      <c r="C334" s="189"/>
      <c r="D334" s="115">
        <v>104</v>
      </c>
      <c r="E334" s="187" t="str">
        <f ca="1">IF(INDIRECT("'SGO #2(Tiered or Simple)'!B132")=0, " ",INDIRECT("'SGO #2(Tiered or Simple)'!B132"))</f>
        <v xml:space="preserve"> </v>
      </c>
      <c r="F334" s="187"/>
    </row>
    <row r="335" spans="1:6" x14ac:dyDescent="0.25">
      <c r="A335" s="115">
        <v>58</v>
      </c>
      <c r="B335" s="189" t="str">
        <f ca="1">IF(INDIRECT("'SGO #2(Tiered or Simple)'!B86")=0, " ",INDIRECT("'SGO #2(Tiered or Simple)'!B86"))</f>
        <v xml:space="preserve"> </v>
      </c>
      <c r="C335" s="189"/>
      <c r="D335" s="115">
        <v>105</v>
      </c>
      <c r="E335" s="187" t="str">
        <f ca="1">IF(INDIRECT("'SGO #2(Tiered or Simple)'!B133")=0, " ",INDIRECT("'SGO #2(Tiered or Simple)'!B133"))</f>
        <v xml:space="preserve"> </v>
      </c>
      <c r="F335" s="187"/>
    </row>
    <row r="336" spans="1:6" x14ac:dyDescent="0.25">
      <c r="A336" s="115">
        <v>59</v>
      </c>
      <c r="B336" s="189" t="str">
        <f ca="1">IF(INDIRECT("'SGO #2(Tiered or Simple)'!B87")=0, " ",INDIRECT("'SGO #2(Tiered or Simple)'!B87"))</f>
        <v xml:space="preserve"> </v>
      </c>
      <c r="C336" s="189"/>
      <c r="D336" s="115">
        <v>106</v>
      </c>
      <c r="E336" s="187" t="str">
        <f ca="1">IF(INDIRECT("'SGO #2(Tiered or Simple)'!B134")=0, " ",INDIRECT("'SGO #2(Tiered or Simple)'!B134"))</f>
        <v xml:space="preserve"> </v>
      </c>
      <c r="F336" s="187"/>
    </row>
    <row r="337" spans="1:6" x14ac:dyDescent="0.25">
      <c r="A337" s="115">
        <v>60</v>
      </c>
      <c r="B337" s="189" t="str">
        <f ca="1">IF(INDIRECT("'SGO #2(Tiered or Simple)'!B88")=0, " ",INDIRECT("'SGO #2(Tiered or Simple)'!B88"))</f>
        <v xml:space="preserve"> </v>
      </c>
      <c r="C337" s="189"/>
      <c r="D337" s="115">
        <v>107</v>
      </c>
      <c r="E337" s="187" t="str">
        <f ca="1">IF(INDIRECT("'SGO #2(Tiered or Simple)'!B135")=0, " ",INDIRECT("'SGO #2(Tiered or Simple)'!B135"))</f>
        <v xml:space="preserve"> </v>
      </c>
      <c r="F337" s="187"/>
    </row>
    <row r="338" spans="1:6" x14ac:dyDescent="0.25">
      <c r="A338" s="115">
        <v>61</v>
      </c>
      <c r="B338" s="189" t="str">
        <f ca="1">IF(INDIRECT("'SGO #2(Tiered or Simple)'!B89")=0, " ",INDIRECT("'SGO #2(Tiered or Simple)'!B89"))</f>
        <v xml:space="preserve"> </v>
      </c>
      <c r="C338" s="189"/>
      <c r="D338" s="115">
        <v>108</v>
      </c>
      <c r="E338" s="187" t="str">
        <f ca="1">IF(INDIRECT("'SGO #2(Tiered or Simple)'!B136")=0, " ",INDIRECT("'SGO #2(Tiered or Simple)'!B136"))</f>
        <v xml:space="preserve"> </v>
      </c>
      <c r="F338" s="187"/>
    </row>
    <row r="339" spans="1:6" x14ac:dyDescent="0.25">
      <c r="A339" s="115">
        <v>62</v>
      </c>
      <c r="B339" s="189" t="str">
        <f ca="1">IF(INDIRECT("'SGO #2(Tiered or Simple)'!B90")=0, " ",INDIRECT("'SGO #2(Tiered or Simple)'!B90"))</f>
        <v xml:space="preserve"> </v>
      </c>
      <c r="C339" s="189"/>
      <c r="D339" s="115">
        <v>109</v>
      </c>
      <c r="E339" s="187" t="str">
        <f ca="1">IF(INDIRECT("'SGO #2(Tiered or Simple)'!B137")=0, " ",INDIRECT("'SGO #2(Tiered or Simple)'!B137"))</f>
        <v xml:space="preserve"> </v>
      </c>
      <c r="F339" s="187"/>
    </row>
    <row r="340" spans="1:6" x14ac:dyDescent="0.25">
      <c r="A340" s="115">
        <v>63</v>
      </c>
      <c r="B340" s="189" t="str">
        <f ca="1">IF(INDIRECT("'SGO #2(Tiered or Simple)'!B91")=0, " ",INDIRECT("'SGO #2(Tiered or Simple)'!B91"))</f>
        <v xml:space="preserve"> </v>
      </c>
      <c r="C340" s="189"/>
      <c r="D340" s="115">
        <v>110</v>
      </c>
      <c r="E340" s="187" t="str">
        <f ca="1">IF(INDIRECT("'SGO #2(Tiered or Simple)'!B138")=0, " ",INDIRECT("'SGO #2(Tiered or Simple)'!B138"))</f>
        <v xml:space="preserve"> </v>
      </c>
      <c r="F340" s="187"/>
    </row>
    <row r="341" spans="1:6" x14ac:dyDescent="0.25">
      <c r="A341" s="115">
        <v>64</v>
      </c>
      <c r="B341" s="189" t="str">
        <f ca="1">IF(INDIRECT("'SGO #2(Tiered or Simple)'!B92")=0, " ",INDIRECT("'SGO #2(Tiered or Simple)'!B92"))</f>
        <v xml:space="preserve"> </v>
      </c>
      <c r="C341" s="189"/>
      <c r="D341" s="115">
        <v>111</v>
      </c>
      <c r="E341" s="187" t="str">
        <f ca="1">IF(INDIRECT("'SGO #2(Tiered or Simple)'!B139")=0, " ",INDIRECT("'SGO #2(Tiered or Simple)'!B139"))</f>
        <v xml:space="preserve"> </v>
      </c>
      <c r="F341" s="187"/>
    </row>
    <row r="342" spans="1:6" x14ac:dyDescent="0.25">
      <c r="A342" s="115">
        <v>65</v>
      </c>
      <c r="B342" s="189" t="str">
        <f ca="1">IF(INDIRECT("'SGO #2(Tiered or Simple)'!B93")=0, " ",INDIRECT("'SGO #2(Tiered or Simple)'!B93"))</f>
        <v xml:space="preserve"> </v>
      </c>
      <c r="C342" s="189"/>
      <c r="D342" s="115">
        <v>112</v>
      </c>
      <c r="E342" s="187" t="str">
        <f ca="1">IF(INDIRECT("'SGO #2(Tiered or Simple)'!B140")=0, " ",INDIRECT("'SGO #2(Tiered or Simple)'!B140"))</f>
        <v xml:space="preserve"> </v>
      </c>
      <c r="F342" s="187"/>
    </row>
    <row r="343" spans="1:6" x14ac:dyDescent="0.25">
      <c r="A343" s="115">
        <v>66</v>
      </c>
      <c r="B343" s="189" t="str">
        <f ca="1">IF(INDIRECT("'SGO #2(Tiered or Simple)'!B94")=0, " ",INDIRECT("'SGO #2(Tiered or Simple)'!B94"))</f>
        <v xml:space="preserve"> </v>
      </c>
      <c r="C343" s="189"/>
      <c r="D343" s="115">
        <v>113</v>
      </c>
      <c r="E343" s="187" t="str">
        <f ca="1">IF(INDIRECT("'SGO #2(Tiered or Simple)'!B141")=0, " ",INDIRECT("'SGO #2(Tiered or Simple)'!B141"))</f>
        <v xml:space="preserve"> </v>
      </c>
      <c r="F343" s="187"/>
    </row>
    <row r="344" spans="1:6" x14ac:dyDescent="0.25">
      <c r="A344" s="115">
        <v>67</v>
      </c>
      <c r="B344" s="189" t="str">
        <f ca="1">IF(INDIRECT("'SGO #2(Tiered or Simple)'!B95")=0, " ",INDIRECT("'SGO #2(Tiered or Simple)'!B95"))</f>
        <v xml:space="preserve"> </v>
      </c>
      <c r="C344" s="189"/>
      <c r="D344" s="115">
        <v>114</v>
      </c>
      <c r="E344" s="187" t="str">
        <f ca="1">IF(INDIRECT("'SGO #2(Tiered or Simple)'!B142")=0, " ",INDIRECT("'SGO #2(Tiered or Simple)'!B142"))</f>
        <v xml:space="preserve"> </v>
      </c>
      <c r="F344" s="187"/>
    </row>
    <row r="345" spans="1:6" x14ac:dyDescent="0.25">
      <c r="A345" s="115">
        <v>68</v>
      </c>
      <c r="B345" s="189" t="str">
        <f ca="1">IF(INDIRECT("'SGO #2(Tiered or Simple)'!B96")=0, " ",INDIRECT("'SGO #2(Tiered or Simple)'!B96"))</f>
        <v xml:space="preserve"> </v>
      </c>
      <c r="C345" s="189"/>
      <c r="D345" s="115">
        <v>115</v>
      </c>
      <c r="E345" s="187" t="str">
        <f ca="1">IF(INDIRECT("'SGO #2(Tiered or Simple)'!B143")=0, " ",INDIRECT("'SGO #2(Tiered or Simple)'!B143"))</f>
        <v xml:space="preserve"> </v>
      </c>
      <c r="F345" s="187"/>
    </row>
    <row r="346" spans="1:6" x14ac:dyDescent="0.25">
      <c r="A346" s="115">
        <v>69</v>
      </c>
      <c r="B346" s="189" t="str">
        <f ca="1">IF(INDIRECT("'SGO #2(Tiered or Simple)'!B97")=0, " ",INDIRECT("'SGO #2(Tiered or Simple)'!B97"))</f>
        <v xml:space="preserve"> </v>
      </c>
      <c r="C346" s="189"/>
      <c r="D346" s="115">
        <v>116</v>
      </c>
      <c r="E346" s="187" t="str">
        <f ca="1">IF(INDIRECT("'SGO #2(Tiered or Simple)'!B144")=0, " ",INDIRECT("'SGO #2(Tiered or Simple)'!B144"))</f>
        <v xml:space="preserve"> </v>
      </c>
      <c r="F346" s="187"/>
    </row>
    <row r="347" spans="1:6" x14ac:dyDescent="0.25">
      <c r="A347" s="115">
        <v>70</v>
      </c>
      <c r="B347" s="189" t="str">
        <f ca="1">IF(INDIRECT("'SGO #2(Tiered or Simple)'!B98")=0, " ",INDIRECT("'SGO #2(Tiered or Simple)'!B98"))</f>
        <v xml:space="preserve"> </v>
      </c>
      <c r="C347" s="189"/>
      <c r="D347" s="115">
        <v>117</v>
      </c>
      <c r="E347" s="187" t="str">
        <f ca="1">IF(INDIRECT("'SGO #2(Tiered or Simple)'!B145")=0, " ",INDIRECT("'SGO #2(Tiered or Simple)'!B145"))</f>
        <v xml:space="preserve"> </v>
      </c>
      <c r="F347" s="187"/>
    </row>
    <row r="348" spans="1:6" x14ac:dyDescent="0.25">
      <c r="A348" s="115">
        <v>71</v>
      </c>
      <c r="B348" s="189" t="str">
        <f ca="1">IF(INDIRECT("'SGO #2(Tiered or Simple)'!B99")=0, " ",INDIRECT("'SGO #2(Tiered or Simple)'!B99"))</f>
        <v xml:space="preserve"> </v>
      </c>
      <c r="C348" s="189"/>
      <c r="D348" s="115">
        <v>118</v>
      </c>
      <c r="E348" s="187" t="str">
        <f ca="1">IF(INDIRECT("'SGO #2(Tiered or Simple)'!B146")=0, " ",INDIRECT("'SGO #2(Tiered or Simple)'!B146"))</f>
        <v xml:space="preserve"> </v>
      </c>
      <c r="F348" s="187"/>
    </row>
    <row r="349" spans="1:6" x14ac:dyDescent="0.25">
      <c r="A349" s="115">
        <v>72</v>
      </c>
      <c r="B349" s="189" t="str">
        <f ca="1">IF(INDIRECT("'SGO #2(Tiered or Simple)'!B100")=0, " ",INDIRECT("'SGO #2(Tiered or Simple)'!B100"))</f>
        <v xml:space="preserve"> </v>
      </c>
      <c r="C349" s="189"/>
      <c r="D349" s="115">
        <v>119</v>
      </c>
      <c r="E349" s="187" t="str">
        <f ca="1">IF(INDIRECT("'SGO #2(Tiered or Simple)'!B147")=0, " ",INDIRECT("'SGO #2(Tiered or Simple)'!B147"))</f>
        <v xml:space="preserve"> </v>
      </c>
      <c r="F349" s="187"/>
    </row>
    <row r="350" spans="1:6" x14ac:dyDescent="0.25">
      <c r="A350" s="115">
        <v>73</v>
      </c>
      <c r="B350" s="189" t="str">
        <f ca="1">IF(INDIRECT("'SGO #2(Tiered or Simple)'!B101")=0, " ",INDIRECT("'SGO #2(Tiered or Simple)'!B101"))</f>
        <v xml:space="preserve"> </v>
      </c>
      <c r="C350" s="189"/>
      <c r="D350" s="115">
        <v>120</v>
      </c>
      <c r="E350" s="187" t="str">
        <f ca="1">IF(INDIRECT("'SGO #2(Tiered or Simple)'!B148")=0, " ",INDIRECT("'SGO #2(Tiered or Simple)'!B148"))</f>
        <v xml:space="preserve"> </v>
      </c>
      <c r="F350" s="187"/>
    </row>
    <row r="351" spans="1:6" x14ac:dyDescent="0.25">
      <c r="A351" s="115">
        <v>74</v>
      </c>
      <c r="B351" s="189" t="str">
        <f ca="1">IF(INDIRECT("'SGO #2(Tiered or Simple)'!B102")=0, " ",INDIRECT("'SGO #2(Tiered or Simple)'!B102"))</f>
        <v xml:space="preserve"> </v>
      </c>
      <c r="C351" s="189"/>
      <c r="D351" s="115">
        <v>121</v>
      </c>
      <c r="E351" s="187" t="str">
        <f ca="1">IF(INDIRECT("'SGO #2(Tiered or Simple)'!B149")=0, " ",INDIRECT("'SGO #2(Tiered or Simple)'!B149"))</f>
        <v xml:space="preserve"> </v>
      </c>
      <c r="F351" s="187"/>
    </row>
    <row r="352" spans="1:6" x14ac:dyDescent="0.25">
      <c r="A352" s="115">
        <v>75</v>
      </c>
      <c r="B352" s="189" t="str">
        <f ca="1">IF(INDIRECT("'SGO #2(Tiered or Simple)'!B103")=0, " ",INDIRECT("'SGO #2(Tiered or Simple)'!B103"))</f>
        <v xml:space="preserve"> </v>
      </c>
      <c r="C352" s="189"/>
      <c r="D352" s="115">
        <v>122</v>
      </c>
      <c r="E352" s="187" t="str">
        <f ca="1">IF(INDIRECT("'SGO #2(Tiered or Simple)'!B150")=0, " ",INDIRECT("'SGO #2(Tiered or Simple)'!B150"))</f>
        <v xml:space="preserve"> </v>
      </c>
      <c r="F352" s="187"/>
    </row>
    <row r="353" spans="1:6" x14ac:dyDescent="0.25">
      <c r="A353" s="115">
        <v>76</v>
      </c>
      <c r="B353" s="189" t="str">
        <f ca="1">IF(INDIRECT("'SGO #2(Tiered or Simple)'!B104")=0, " ",INDIRECT("'SGO #2(Tiered or Simple)'!B104"))</f>
        <v xml:space="preserve"> </v>
      </c>
      <c r="C353" s="189"/>
      <c r="D353" s="115">
        <v>123</v>
      </c>
      <c r="E353" s="187" t="str">
        <f ca="1">IF(INDIRECT("'SGO #2(Tiered or Simple)'!B151")=0, " ",INDIRECT("'SGO #2(Tiered or Simple)'!B151"))</f>
        <v xml:space="preserve"> </v>
      </c>
      <c r="F353" s="187"/>
    </row>
    <row r="354" spans="1:6" x14ac:dyDescent="0.25">
      <c r="A354" s="115">
        <v>77</v>
      </c>
      <c r="B354" s="189" t="str">
        <f ca="1">IF(INDIRECT("'SGO #2(Tiered or Simple)'!B105")=0, " ",INDIRECT("'SGO #2(Tiered or Simple)'!B105"))</f>
        <v xml:space="preserve"> </v>
      </c>
      <c r="C354" s="189"/>
      <c r="D354" s="115">
        <v>124</v>
      </c>
      <c r="E354" s="187" t="str">
        <f ca="1">IF(INDIRECT("'SGO #2(Tiered or Simple)'!B152")=0, " ",INDIRECT("'SGO #2(Tiered or Simple)'!B152"))</f>
        <v xml:space="preserve"> </v>
      </c>
      <c r="F354" s="187"/>
    </row>
    <row r="355" spans="1:6" x14ac:dyDescent="0.25">
      <c r="A355" s="115">
        <v>125</v>
      </c>
      <c r="B355" s="189" t="str">
        <f ca="1">IF(INDIRECT("'SGO #2(Tiered or Simple)'!B153")=0, " ",INDIRECT("'SGO #2(Tiered or Simple)'!B153"))</f>
        <v xml:space="preserve"> </v>
      </c>
      <c r="C355" s="189"/>
      <c r="D355" s="115">
        <v>139</v>
      </c>
      <c r="E355" s="187" t="str">
        <f ca="1">IF(INDIRECT("'SGO #2(Tiered or Simple)'!B167")=0, " ",INDIRECT("'SGO #2(Tiered or Simple)'!B167"))</f>
        <v xml:space="preserve"> </v>
      </c>
      <c r="F355" s="187"/>
    </row>
    <row r="356" spans="1:6" x14ac:dyDescent="0.25">
      <c r="A356" s="115">
        <v>126</v>
      </c>
      <c r="B356" s="189" t="str">
        <f ca="1">IF(INDIRECT("'SGO #2(Tiered or Simple)'!B154")=0, " ",INDIRECT("'SGO #2(Tiered or Simple)'!B154"))</f>
        <v xml:space="preserve"> </v>
      </c>
      <c r="C356" s="189"/>
      <c r="D356" s="115">
        <v>140</v>
      </c>
      <c r="E356" s="187" t="str">
        <f ca="1">IF(INDIRECT("'SGO #2(Tiered or Simple)'!B168")=0, " ",INDIRECT("'SGO #2(Tiered or Simple)'!B168"))</f>
        <v xml:space="preserve"> </v>
      </c>
      <c r="F356" s="187"/>
    </row>
    <row r="357" spans="1:6" x14ac:dyDescent="0.25">
      <c r="A357" s="115">
        <v>127</v>
      </c>
      <c r="B357" s="189" t="str">
        <f ca="1">IF(INDIRECT("'SGO #2(Tiered or Simple)'!B155")=0, " ",INDIRECT("'SGO #2(Tiered or Simple)'!B155"))</f>
        <v xml:space="preserve"> </v>
      </c>
      <c r="C357" s="189"/>
      <c r="D357" s="115">
        <v>141</v>
      </c>
      <c r="E357" s="187" t="str">
        <f ca="1">IF(INDIRECT("'SGO #2(Tiered or Simple)'!B169")=0, " ",INDIRECT("'SGO #2(Tiered or Simple)'!B169"))</f>
        <v xml:space="preserve"> </v>
      </c>
      <c r="F357" s="187"/>
    </row>
    <row r="358" spans="1:6" x14ac:dyDescent="0.25">
      <c r="A358" s="115">
        <v>128</v>
      </c>
      <c r="B358" s="189" t="str">
        <f ca="1">IF(INDIRECT("'SGO #2(Tiered or Simple)'!B156")=0, " ",INDIRECT("'SGO #2(Tiered or Simple)'!B156"))</f>
        <v xml:space="preserve"> </v>
      </c>
      <c r="C358" s="189"/>
      <c r="D358" s="115">
        <v>142</v>
      </c>
      <c r="E358" s="187" t="str">
        <f ca="1">IF(INDIRECT("'SGO #2(Tiered or Simple)'!B170")=0, " ",INDIRECT("'SGO #2(Tiered or Simple)'!B170"))</f>
        <v xml:space="preserve"> </v>
      </c>
      <c r="F358" s="187"/>
    </row>
    <row r="359" spans="1:6" x14ac:dyDescent="0.25">
      <c r="A359" s="115">
        <v>129</v>
      </c>
      <c r="B359" s="189" t="str">
        <f ca="1">IF(INDIRECT("'SGO #2(Tiered or Simple)'!B157")=0, " ",INDIRECT("'SGO #2(Tiered or Simple)'!B157"))</f>
        <v xml:space="preserve"> </v>
      </c>
      <c r="C359" s="189"/>
      <c r="D359" s="115">
        <v>143</v>
      </c>
      <c r="E359" s="187" t="str">
        <f ca="1">IF(INDIRECT("'SGO #2(Tiered or Simple)'!B171")=0, " ",INDIRECT("'SGO #2(Tiered or Simple)'!B171"))</f>
        <v xml:space="preserve"> </v>
      </c>
      <c r="F359" s="187"/>
    </row>
    <row r="360" spans="1:6" x14ac:dyDescent="0.25">
      <c r="A360" s="115">
        <v>130</v>
      </c>
      <c r="B360" s="189" t="str">
        <f ca="1">IF(INDIRECT("'SGO #2(Tiered or Simple)'!B158")=0, " ",INDIRECT("'SGO #2(Tiered or Simple)'!B158"))</f>
        <v xml:space="preserve"> </v>
      </c>
      <c r="C360" s="189"/>
      <c r="D360" s="115">
        <v>144</v>
      </c>
      <c r="E360" s="187" t="str">
        <f ca="1">IF(INDIRECT("'SGO #2(Tiered or Simple)'!B172")=0, " ",INDIRECT("'SGO #2(Tiered or Simple)'!B172"))</f>
        <v xml:space="preserve"> </v>
      </c>
      <c r="F360" s="187"/>
    </row>
    <row r="361" spans="1:6" x14ac:dyDescent="0.25">
      <c r="A361" s="115">
        <v>131</v>
      </c>
      <c r="B361" s="189" t="str">
        <f ca="1">IF(INDIRECT("'SGO #2(Tiered or Simple)'!B159")=0, " ",INDIRECT("'SGO #2(Tiered or Simple)'!B159"))</f>
        <v xml:space="preserve"> </v>
      </c>
      <c r="C361" s="189"/>
      <c r="D361" s="115">
        <v>145</v>
      </c>
      <c r="E361" s="187" t="str">
        <f ca="1">IF(INDIRECT("'SGO #2(Tiered or Simple)'!B173")=0, " ",INDIRECT("'SGO #2(Tiered or Simple)'!B173"))</f>
        <v xml:space="preserve"> </v>
      </c>
      <c r="F361" s="187"/>
    </row>
    <row r="362" spans="1:6" x14ac:dyDescent="0.25">
      <c r="A362" s="115">
        <v>132</v>
      </c>
      <c r="B362" s="189" t="str">
        <f ca="1">IF(INDIRECT("'SGO #2(Tiered or Simple)'!B160")=0, " ",INDIRECT("'SGO #2(Tiered or Simple)'!B160"))</f>
        <v xml:space="preserve"> </v>
      </c>
      <c r="C362" s="189"/>
      <c r="D362" s="115">
        <v>146</v>
      </c>
      <c r="E362" s="187" t="str">
        <f ca="1">IF(INDIRECT("'SGO #2(Tiered or Simple)'!B174")=0, " ",INDIRECT("'SGO #2(Tiered or Simple)'!B174"))</f>
        <v xml:space="preserve"> </v>
      </c>
      <c r="F362" s="187"/>
    </row>
    <row r="363" spans="1:6" x14ac:dyDescent="0.25">
      <c r="A363" s="115">
        <v>133</v>
      </c>
      <c r="B363" s="189" t="str">
        <f ca="1">IF(INDIRECT("'SGO #2(Tiered or Simple)'!B161")=0, " ",INDIRECT("'SGO #2(Tiered or Simple)'!B161"))</f>
        <v xml:space="preserve"> </v>
      </c>
      <c r="C363" s="189"/>
      <c r="D363" s="115">
        <v>147</v>
      </c>
      <c r="E363" s="187" t="str">
        <f ca="1">IF(INDIRECT("'SGO #2(Tiered or Simple)'!B175")=0, " ",INDIRECT("'SGO #2(Tiered or Simple)'!B175"))</f>
        <v xml:space="preserve"> </v>
      </c>
      <c r="F363" s="187"/>
    </row>
    <row r="364" spans="1:6" x14ac:dyDescent="0.25">
      <c r="A364" s="115">
        <v>134</v>
      </c>
      <c r="B364" s="189" t="str">
        <f ca="1">IF(INDIRECT("'SGO #2(Tiered or Simple)'!B162")=0, " ",INDIRECT("'SGO #2(Tiered or Simple)'!B162"))</f>
        <v xml:space="preserve"> </v>
      </c>
      <c r="C364" s="189"/>
      <c r="D364" s="115">
        <v>148</v>
      </c>
      <c r="E364" s="187" t="str">
        <f ca="1">IF(INDIRECT("'SGO #2(Tiered or Simple)'!B176")=0, " ",INDIRECT("'SGO #2(Tiered or Simple)'!B176"))</f>
        <v xml:space="preserve"> </v>
      </c>
      <c r="F364" s="187"/>
    </row>
    <row r="365" spans="1:6" x14ac:dyDescent="0.25">
      <c r="A365" s="115">
        <v>135</v>
      </c>
      <c r="B365" s="189" t="str">
        <f ca="1">IF(INDIRECT("'SGO #2(Tiered or Simple)'!B163")=0, " ",INDIRECT("'SGO #2(Tiered or Simple)'!B163"))</f>
        <v xml:space="preserve"> </v>
      </c>
      <c r="C365" s="189"/>
      <c r="D365" s="115">
        <v>149</v>
      </c>
      <c r="E365" s="187" t="str">
        <f ca="1">IF(INDIRECT("'SGO #2(Tiered or Simple)'!B177")=0, " ",INDIRECT("'SGO #2(Tiered or Simple)'!B177"))</f>
        <v xml:space="preserve"> </v>
      </c>
      <c r="F365" s="187"/>
    </row>
    <row r="366" spans="1:6" x14ac:dyDescent="0.25">
      <c r="A366" s="115">
        <v>136</v>
      </c>
      <c r="B366" s="189" t="str">
        <f ca="1">IF(INDIRECT("'SGO #2(Tiered or Simple)'!B164")=0, " ",INDIRECT("'SGO #2(Tiered or Simple)'!B164"))</f>
        <v xml:space="preserve"> </v>
      </c>
      <c r="C366" s="189"/>
      <c r="D366" s="115">
        <v>150</v>
      </c>
      <c r="E366" s="187" t="str">
        <f ca="1">IF(INDIRECT("'SGO #2(Tiered or Simple)'!B178")=0, " ",INDIRECT("'SGO #2(Tiered or Simple)'!B178"))</f>
        <v xml:space="preserve"> </v>
      </c>
      <c r="F366" s="187"/>
    </row>
    <row r="367" spans="1:6" x14ac:dyDescent="0.25">
      <c r="A367" s="115">
        <v>137</v>
      </c>
      <c r="B367" s="189" t="str">
        <f ca="1">IF(INDIRECT("'SGO #2(Tiered or Simple)'!B165")=0, " ",INDIRECT("'SGO #2(Tiered or Simple)'!B165"))</f>
        <v xml:space="preserve"> </v>
      </c>
      <c r="C367" s="189"/>
      <c r="D367" s="115"/>
      <c r="E367" s="187"/>
      <c r="F367" s="187"/>
    </row>
    <row r="368" spans="1:6" x14ac:dyDescent="0.25">
      <c r="A368" s="115">
        <v>138</v>
      </c>
      <c r="B368" s="189" t="str">
        <f ca="1">IF(INDIRECT("'SGO #2(Tiered or Simple)'!B166")=0, " ",INDIRECT("'SGO #2(Tiered or Simple)'!B166"))</f>
        <v xml:space="preserve"> </v>
      </c>
      <c r="C368" s="189"/>
      <c r="D368" s="115"/>
      <c r="E368" s="187"/>
      <c r="F368" s="187"/>
    </row>
    <row r="369" spans="1:6" ht="15.75" thickBot="1" x14ac:dyDescent="0.3">
      <c r="A369" s="115"/>
      <c r="B369" s="189"/>
      <c r="C369" s="189"/>
      <c r="D369" s="115"/>
      <c r="E369" s="187"/>
      <c r="F369" s="187"/>
    </row>
    <row r="370" spans="1:6" ht="15.75" thickBot="1" x14ac:dyDescent="0.3">
      <c r="A370" s="190" t="s">
        <v>201</v>
      </c>
      <c r="B370" s="191"/>
      <c r="C370" s="191"/>
      <c r="D370" s="191"/>
      <c r="E370" s="191"/>
      <c r="F370" s="192"/>
    </row>
    <row r="371" spans="1:6" ht="15.75" thickBot="1" x14ac:dyDescent="0.3">
      <c r="A371" s="193" t="s">
        <v>29</v>
      </c>
      <c r="B371" s="194"/>
      <c r="C371" s="194"/>
      <c r="D371" s="194"/>
      <c r="E371" s="194"/>
      <c r="F371" s="195"/>
    </row>
    <row r="372" spans="1:6" x14ac:dyDescent="0.25">
      <c r="A372" s="115">
        <v>1</v>
      </c>
      <c r="B372" s="189" t="str">
        <f ca="1">IF(INDIRECT("'SGO #2(Tiered or Simple)'!B181")=0, " ",INDIRECT("'SGO #2(Tiered or Simple)'!B181"))</f>
        <v xml:space="preserve"> </v>
      </c>
      <c r="C372" s="189"/>
      <c r="D372" s="115">
        <v>31</v>
      </c>
      <c r="E372" s="187" t="str">
        <f ca="1">IF(INDIRECT("'SGO #2(Tiered or Simple)'!B211")=0, " ",INDIRECT("'SGO #2(Tiered or Simple)'!B211"))</f>
        <v xml:space="preserve"> </v>
      </c>
      <c r="F372" s="187"/>
    </row>
    <row r="373" spans="1:6" x14ac:dyDescent="0.25">
      <c r="A373" s="115">
        <v>2</v>
      </c>
      <c r="B373" s="189" t="str">
        <f ca="1">IF(INDIRECT("'SGO #2(Tiered or Simple)'!B182")=0, " ",INDIRECT("'SGO #2(Tiered or Simple)'!B182"))</f>
        <v xml:space="preserve"> </v>
      </c>
      <c r="C373" s="189"/>
      <c r="D373" s="115">
        <v>32</v>
      </c>
      <c r="E373" s="187" t="str">
        <f ca="1">IF(INDIRECT("'SGO #2(Tiered or Simple)'!B212")=0, " ",INDIRECT("'SGO #2(Tiered or Simple)'!B212"))</f>
        <v xml:space="preserve"> </v>
      </c>
      <c r="F373" s="187"/>
    </row>
    <row r="374" spans="1:6" x14ac:dyDescent="0.25">
      <c r="A374" s="115">
        <v>3</v>
      </c>
      <c r="B374" s="189" t="str">
        <f ca="1">IF(INDIRECT("'SGO #2(Tiered or Simple)'!B183")=0, " ",INDIRECT("'SGO #2(Tiered or Simple)'!B183"))</f>
        <v xml:space="preserve"> </v>
      </c>
      <c r="C374" s="189"/>
      <c r="D374" s="115">
        <v>33</v>
      </c>
      <c r="E374" s="187" t="str">
        <f ca="1">IF(INDIRECT("'SGO #2(Tiered or Simple)'!B213")=0, " ",INDIRECT("'SGO #2(Tiered or Simple)'!B213"))</f>
        <v xml:space="preserve"> </v>
      </c>
      <c r="F374" s="187"/>
    </row>
    <row r="375" spans="1:6" x14ac:dyDescent="0.25">
      <c r="A375" s="115">
        <v>4</v>
      </c>
      <c r="B375" s="189" t="str">
        <f ca="1">IF(INDIRECT("'SGO #2(Tiered or Simple)'!B184")=0, " ",INDIRECT("'SGO #2(Tiered or Simple)'!B184"))</f>
        <v xml:space="preserve"> </v>
      </c>
      <c r="C375" s="189"/>
      <c r="D375" s="115">
        <v>34</v>
      </c>
      <c r="E375" s="187" t="str">
        <f ca="1">IF(INDIRECT("'SGO #2(Tiered or Simple)'!B214")=0, " ",INDIRECT("'SGO #2(Tiered or Simple)'!B214"))</f>
        <v xml:space="preserve"> </v>
      </c>
      <c r="F375" s="187"/>
    </row>
    <row r="376" spans="1:6" x14ac:dyDescent="0.25">
      <c r="A376" s="115">
        <v>5</v>
      </c>
      <c r="B376" s="189" t="str">
        <f ca="1">IF(INDIRECT("'SGO #2(Tiered or Simple)'!B185")=0, " ",INDIRECT("'SGO #2(Tiered or Simple)'!B185"))</f>
        <v xml:space="preserve"> </v>
      </c>
      <c r="C376" s="189"/>
      <c r="D376" s="115">
        <v>35</v>
      </c>
      <c r="E376" s="187" t="str">
        <f ca="1">IF(INDIRECT("'SGO #2(Tiered or Simple)'!B215")=0, " ",INDIRECT("'SGO #2(Tiered or Simple)'!B215"))</f>
        <v xml:space="preserve"> </v>
      </c>
      <c r="F376" s="187"/>
    </row>
    <row r="377" spans="1:6" x14ac:dyDescent="0.25">
      <c r="A377" s="115">
        <v>6</v>
      </c>
      <c r="B377" s="189" t="str">
        <f ca="1">IF(INDIRECT("'SGO #2(Tiered or Simple)'!B186")=0, " ",INDIRECT("'SGO #2(Tiered or Simple)'!B186"))</f>
        <v xml:space="preserve"> </v>
      </c>
      <c r="C377" s="189"/>
      <c r="D377" s="115">
        <v>36</v>
      </c>
      <c r="E377" s="187" t="str">
        <f ca="1">IF(INDIRECT("'SGO #2(Tiered or Simple)'!B216")=0, " ",INDIRECT("'SGO #2(Tiered or Simple)'!B216"))</f>
        <v xml:space="preserve"> </v>
      </c>
      <c r="F377" s="187"/>
    </row>
    <row r="378" spans="1:6" x14ac:dyDescent="0.25">
      <c r="A378" s="115">
        <v>7</v>
      </c>
      <c r="B378" s="189" t="str">
        <f ca="1">IF(INDIRECT("'SGO #2(Tiered or Simple)'!B187")=0, " ",INDIRECT("'SGO #2(Tiered or Simple)'!B187"))</f>
        <v xml:space="preserve"> </v>
      </c>
      <c r="C378" s="189"/>
      <c r="D378" s="115">
        <v>37</v>
      </c>
      <c r="E378" s="187" t="str">
        <f ca="1">IF(INDIRECT("'SGO #2(Tiered or Simple)'!B217")=0, " ",INDIRECT("'SGO #2(Tiered or Simple)'!B217"))</f>
        <v xml:space="preserve"> </v>
      </c>
      <c r="F378" s="187"/>
    </row>
    <row r="379" spans="1:6" x14ac:dyDescent="0.25">
      <c r="A379" s="115">
        <v>8</v>
      </c>
      <c r="B379" s="189" t="str">
        <f ca="1">IF(INDIRECT("'SGO #2(Tiered or Simple)'!B188")=0, " ",INDIRECT("'SGO #2(Tiered or Simple)'!B188"))</f>
        <v xml:space="preserve"> </v>
      </c>
      <c r="C379" s="189"/>
      <c r="D379" s="115">
        <v>38</v>
      </c>
      <c r="E379" s="187" t="str">
        <f ca="1">IF(INDIRECT("'SGO #2(Tiered or Simple)'!B218")=0, " ",INDIRECT("'SGO #2(Tiered or Simple)'!B218"))</f>
        <v xml:space="preserve"> </v>
      </c>
      <c r="F379" s="187"/>
    </row>
    <row r="380" spans="1:6" x14ac:dyDescent="0.25">
      <c r="A380" s="115">
        <v>9</v>
      </c>
      <c r="B380" s="189" t="str">
        <f ca="1">IF(INDIRECT("'SGO #2(Tiered or Simple)'!B189")=0, " ",INDIRECT("'SGO #2(Tiered or Simple)'!B189"))</f>
        <v xml:space="preserve"> </v>
      </c>
      <c r="C380" s="189"/>
      <c r="D380" s="115">
        <v>39</v>
      </c>
      <c r="E380" s="187" t="str">
        <f ca="1">IF(INDIRECT("'SGO #2(Tiered or Simple)'!B219")=0, " ",INDIRECT("'SGO #2(Tiered or Simple)'!B219"))</f>
        <v xml:space="preserve"> </v>
      </c>
      <c r="F380" s="187"/>
    </row>
    <row r="381" spans="1:6" x14ac:dyDescent="0.25">
      <c r="A381" s="115">
        <v>10</v>
      </c>
      <c r="B381" s="189" t="str">
        <f ca="1">IF(INDIRECT("'SGO #2(Tiered or Simple)'!B190")=0, " ",INDIRECT("'SGO #2(Tiered or Simple)'!B190"))</f>
        <v xml:space="preserve"> </v>
      </c>
      <c r="C381" s="189"/>
      <c r="D381" s="115">
        <v>40</v>
      </c>
      <c r="E381" s="187" t="str">
        <f ca="1">IF(INDIRECT("'SGO #2(Tiered or Simple)'!B220")=0, " ",INDIRECT("'SGO #2(Tiered or Simple)'!B220"))</f>
        <v xml:space="preserve"> </v>
      </c>
      <c r="F381" s="187"/>
    </row>
    <row r="382" spans="1:6" x14ac:dyDescent="0.25">
      <c r="A382" s="115">
        <v>11</v>
      </c>
      <c r="B382" s="189" t="str">
        <f ca="1">IF(INDIRECT("'SGO #2(Tiered or Simple)'!B191")=0, " ",INDIRECT("'SGO #2(Tiered or Simple)'!B191"))</f>
        <v xml:space="preserve"> </v>
      </c>
      <c r="C382" s="189"/>
      <c r="D382" s="115">
        <v>41</v>
      </c>
      <c r="E382" s="187" t="str">
        <f ca="1">IF(INDIRECT("'SGO #2(Tiered or Simple)'!B221")=0, " ",INDIRECT("'SGO #2(Tiered or Simple)'!B221"))</f>
        <v xml:space="preserve"> </v>
      </c>
      <c r="F382" s="187"/>
    </row>
    <row r="383" spans="1:6" x14ac:dyDescent="0.25">
      <c r="A383" s="115">
        <v>12</v>
      </c>
      <c r="B383" s="189" t="str">
        <f ca="1">IF(INDIRECT("'SGO #2(Tiered or Simple)'!B192")=0, " ",INDIRECT("'SGO #2(Tiered or Simple)'!B192"))</f>
        <v xml:space="preserve"> </v>
      </c>
      <c r="C383" s="189"/>
      <c r="D383" s="115">
        <v>42</v>
      </c>
      <c r="E383" s="187" t="str">
        <f ca="1">IF(INDIRECT("'SGO #2(Tiered or Simple)'!B222")=0, " ",INDIRECT("'SGO #2(Tiered or Simple)'!B222"))</f>
        <v xml:space="preserve"> </v>
      </c>
      <c r="F383" s="187"/>
    </row>
    <row r="384" spans="1:6" x14ac:dyDescent="0.25">
      <c r="A384" s="115">
        <v>13</v>
      </c>
      <c r="B384" s="189" t="str">
        <f ca="1">IF(INDIRECT("'SGO #2(Tiered or Simple)'!B193")=0, " ",INDIRECT("'SGO #2(Tiered or Simple)'!B193"))</f>
        <v xml:space="preserve"> </v>
      </c>
      <c r="C384" s="189"/>
      <c r="D384" s="115">
        <v>43</v>
      </c>
      <c r="E384" s="187" t="str">
        <f ca="1">IF(INDIRECT("'SGO #2(Tiered or Simple)'!B223")=0, " ",INDIRECT("'SGO #2(Tiered or Simple)'!B223"))</f>
        <v xml:space="preserve"> </v>
      </c>
      <c r="F384" s="187"/>
    </row>
    <row r="385" spans="1:6" x14ac:dyDescent="0.25">
      <c r="A385" s="115">
        <v>14</v>
      </c>
      <c r="B385" s="189" t="str">
        <f ca="1">IF(INDIRECT("'SGO #2(Tiered or Simple)'!B194")=0, " ",INDIRECT("'SGO #2(Tiered or Simple)'!B194"))</f>
        <v xml:space="preserve"> </v>
      </c>
      <c r="C385" s="189"/>
      <c r="D385" s="115">
        <v>44</v>
      </c>
      <c r="E385" s="187" t="str">
        <f ca="1">IF(INDIRECT("'SGO #2(Tiered or Simple)'!B224")=0, " ",INDIRECT("'SGO #2(Tiered or Simple)'!B224"))</f>
        <v xml:space="preserve"> </v>
      </c>
      <c r="F385" s="187"/>
    </row>
    <row r="386" spans="1:6" x14ac:dyDescent="0.25">
      <c r="A386" s="115">
        <v>15</v>
      </c>
      <c r="B386" s="189" t="str">
        <f ca="1">IF(INDIRECT("'SGO #2(Tiered or Simple)'!B195")=0, " ",INDIRECT("'SGO #2(Tiered or Simple)'!B195"))</f>
        <v xml:space="preserve"> </v>
      </c>
      <c r="C386" s="189"/>
      <c r="D386" s="115">
        <v>45</v>
      </c>
      <c r="E386" s="187" t="str">
        <f ca="1">IF(INDIRECT("'SGO #2(Tiered or Simple)'!B225")=0, " ",INDIRECT("'SGO #2(Tiered or Simple)'!B225"))</f>
        <v xml:space="preserve"> </v>
      </c>
      <c r="F386" s="187"/>
    </row>
    <row r="387" spans="1:6" x14ac:dyDescent="0.25">
      <c r="A387" s="115">
        <v>16</v>
      </c>
      <c r="B387" s="189" t="str">
        <f ca="1">IF(INDIRECT("'SGO #2(Tiered or Simple)'!B196")=0, " ",INDIRECT("'SGO #2(Tiered or Simple)'!B196"))</f>
        <v xml:space="preserve"> </v>
      </c>
      <c r="C387" s="189"/>
      <c r="D387" s="115">
        <v>46</v>
      </c>
      <c r="E387" s="187" t="str">
        <f ca="1">IF(INDIRECT("'SGO #2(Tiered or Simple)'!B226")=0, " ",INDIRECT("'SGO #2(Tiered or Simple)'!B226"))</f>
        <v xml:space="preserve"> </v>
      </c>
      <c r="F387" s="187"/>
    </row>
    <row r="388" spans="1:6" x14ac:dyDescent="0.25">
      <c r="A388" s="115">
        <v>17</v>
      </c>
      <c r="B388" s="189" t="str">
        <f ca="1">IF(INDIRECT("'SGO #2(Tiered or Simple)'!B197")=0, " ",INDIRECT("'SGO #2(Tiered or Simple)'!B197"))</f>
        <v xml:space="preserve"> </v>
      </c>
      <c r="C388" s="189"/>
      <c r="D388" s="115">
        <v>47</v>
      </c>
      <c r="E388" s="187" t="str">
        <f ca="1">IF(INDIRECT("'SGO #2(Tiered or Simple)'!B227")=0, " ",INDIRECT("'SGO #2(Tiered or Simple)'!B227"))</f>
        <v xml:space="preserve"> </v>
      </c>
      <c r="F388" s="187"/>
    </row>
    <row r="389" spans="1:6" x14ac:dyDescent="0.25">
      <c r="A389" s="115">
        <v>18</v>
      </c>
      <c r="B389" s="189" t="str">
        <f ca="1">IF(INDIRECT("'SGO #2(Tiered or Simple)'!B198")=0, " ",INDIRECT("'SGO #2(Tiered or Simple)'!B198"))</f>
        <v xml:space="preserve"> </v>
      </c>
      <c r="C389" s="189"/>
      <c r="D389" s="115">
        <v>48</v>
      </c>
      <c r="E389" s="187" t="str">
        <f ca="1">IF(INDIRECT("'SGO #2(Tiered or Simple)'!B228")=0, " ",INDIRECT("'SGO #2(Tiered or Simple)'!B228"))</f>
        <v xml:space="preserve"> </v>
      </c>
      <c r="F389" s="187"/>
    </row>
    <row r="390" spans="1:6" x14ac:dyDescent="0.25">
      <c r="A390" s="115">
        <v>19</v>
      </c>
      <c r="B390" s="189" t="str">
        <f ca="1">IF(INDIRECT("'SGO #2(Tiered or Simple)'!B199")=0, " ",INDIRECT("'SGO #2(Tiered or Simple)'!B199"))</f>
        <v xml:space="preserve"> </v>
      </c>
      <c r="C390" s="189"/>
      <c r="D390" s="115">
        <v>49</v>
      </c>
      <c r="E390" s="187" t="str">
        <f ca="1">IF(INDIRECT("'SGO #2(Tiered or Simple)'!B229")=0, " ",INDIRECT("'SGO #2(Tiered or Simple)'!B229"))</f>
        <v xml:space="preserve"> </v>
      </c>
      <c r="F390" s="187"/>
    </row>
    <row r="391" spans="1:6" x14ac:dyDescent="0.25">
      <c r="A391" s="115">
        <v>20</v>
      </c>
      <c r="B391" s="189" t="str">
        <f ca="1">IF(INDIRECT("'SGO #2(Tiered or Simple)'!B200")=0, " ",INDIRECT("'SGO #2(Tiered or Simple)'!B200"))</f>
        <v xml:space="preserve"> </v>
      </c>
      <c r="C391" s="189"/>
      <c r="D391" s="115">
        <v>50</v>
      </c>
      <c r="E391" s="187" t="str">
        <f ca="1">IF(INDIRECT("'SGO #2(Tiered or Simple)'!B230")=0, " ",INDIRECT("'SGO #2(Tiered or Simple)'!B230"))</f>
        <v xml:space="preserve"> </v>
      </c>
      <c r="F391" s="187"/>
    </row>
    <row r="392" spans="1:6" x14ac:dyDescent="0.25">
      <c r="A392" s="115">
        <v>21</v>
      </c>
      <c r="B392" s="189" t="str">
        <f ca="1">IF(INDIRECT("'SGO #2(Tiered or Simple)'!B201")=0, " ",INDIRECT("'SGO #2(Tiered or Simple)'!B201"))</f>
        <v xml:space="preserve"> </v>
      </c>
      <c r="C392" s="189"/>
      <c r="D392" s="115">
        <v>51</v>
      </c>
      <c r="E392" s="187" t="str">
        <f ca="1">IF(INDIRECT("'SGO #2(Tiered or Simple)'!B231")=0, " ",INDIRECT("'SGO #2(Tiered or Simple)'!B231"))</f>
        <v xml:space="preserve"> </v>
      </c>
      <c r="F392" s="187"/>
    </row>
    <row r="393" spans="1:6" x14ac:dyDescent="0.25">
      <c r="A393" s="115">
        <v>22</v>
      </c>
      <c r="B393" s="189" t="str">
        <f ca="1">IF(INDIRECT("'SGO #2(Tiered or Simple)'!B202")=0, " ",INDIRECT("'SGO #2(Tiered or Simple)'!B202"))</f>
        <v xml:space="preserve"> </v>
      </c>
      <c r="C393" s="189"/>
      <c r="D393" s="115">
        <v>52</v>
      </c>
      <c r="E393" s="187" t="str">
        <f ca="1">IF(INDIRECT("'SGO #2(Tiered or Simple)'!B232")=0, " ",INDIRECT("'SGO #2(Tiered or Simple)'!B232"))</f>
        <v xml:space="preserve"> </v>
      </c>
      <c r="F393" s="187"/>
    </row>
    <row r="394" spans="1:6" x14ac:dyDescent="0.25">
      <c r="A394" s="115">
        <v>23</v>
      </c>
      <c r="B394" s="189" t="str">
        <f ca="1">IF(INDIRECT("'SGO #2(Tiered or Simple)'!B203")=0, " ",INDIRECT("'SGO #2(Tiered or Simple)'!B203"))</f>
        <v xml:space="preserve"> </v>
      </c>
      <c r="C394" s="189"/>
      <c r="D394" s="115">
        <v>53</v>
      </c>
      <c r="E394" s="187" t="str">
        <f ca="1">IF(INDIRECT("'SGO #2(Tiered or Simple)'!B233")=0, " ",INDIRECT("'SGO #2(Tiered or Simple)'!B233"))</f>
        <v xml:space="preserve"> </v>
      </c>
      <c r="F394" s="187"/>
    </row>
    <row r="395" spans="1:6" x14ac:dyDescent="0.25">
      <c r="A395" s="115">
        <v>24</v>
      </c>
      <c r="B395" s="189" t="str">
        <f ca="1">IF(INDIRECT("'SGO #2(Tiered or Simple)'!B204")=0, " ",INDIRECT("'SGO #2(Tiered or Simple)'!B204"))</f>
        <v xml:space="preserve"> </v>
      </c>
      <c r="C395" s="189"/>
      <c r="D395" s="115">
        <v>54</v>
      </c>
      <c r="E395" s="187" t="str">
        <f ca="1">IF(INDIRECT("'SGO #2(Tiered or Simple)'!B234")=0, " ",INDIRECT("'SGO #2(Tiered or Simple)'!B234"))</f>
        <v xml:space="preserve"> </v>
      </c>
      <c r="F395" s="187"/>
    </row>
    <row r="396" spans="1:6" x14ac:dyDescent="0.25">
      <c r="A396" s="115">
        <v>25</v>
      </c>
      <c r="B396" s="189" t="str">
        <f ca="1">IF(INDIRECT("'SGO #2(Tiered or Simple)'!B205")=0, " ",INDIRECT("'SGO #2(Tiered or Simple)'!B205"))</f>
        <v xml:space="preserve"> </v>
      </c>
      <c r="C396" s="189"/>
      <c r="D396" s="115">
        <v>55</v>
      </c>
      <c r="E396" s="187" t="str">
        <f ca="1">IF(INDIRECT("'SGO #2(Tiered or Simple)'!B235")=0, " ",INDIRECT("'SGO #2(Tiered or Simple)'!B235"))</f>
        <v xml:space="preserve"> </v>
      </c>
      <c r="F396" s="187"/>
    </row>
    <row r="397" spans="1:6" x14ac:dyDescent="0.25">
      <c r="A397" s="115">
        <v>26</v>
      </c>
      <c r="B397" s="189" t="str">
        <f ca="1">IF(INDIRECT("'SGO #2(Tiered or Simple)'!B206")=0, " ",INDIRECT("'SGO #2(Tiered or Simple)'!B206"))</f>
        <v xml:space="preserve"> </v>
      </c>
      <c r="C397" s="189"/>
      <c r="D397" s="115">
        <v>56</v>
      </c>
      <c r="E397" s="187" t="str">
        <f ca="1">IF(INDIRECT("'SGO #2(Tiered or Simple)'!B236")=0, " ",INDIRECT("'SGO #2(Tiered or Simple)'!B236"))</f>
        <v xml:space="preserve"> </v>
      </c>
      <c r="F397" s="187"/>
    </row>
    <row r="398" spans="1:6" x14ac:dyDescent="0.25">
      <c r="A398" s="115">
        <v>27</v>
      </c>
      <c r="B398" s="189" t="str">
        <f ca="1">IF(INDIRECT("'SGO #2(Tiered or Simple)'!B207")=0, " ",INDIRECT("'SGO #2(Tiered or Simple)'!B207"))</f>
        <v xml:space="preserve"> </v>
      </c>
      <c r="C398" s="189"/>
      <c r="D398" s="115">
        <v>57</v>
      </c>
      <c r="E398" s="187" t="str">
        <f ca="1">IF(INDIRECT("'SGO #2(Tiered or Simple)'!B237")=0, " ",INDIRECT("'SGO #2(Tiered or Simple)'!B237"))</f>
        <v xml:space="preserve"> </v>
      </c>
      <c r="F398" s="187"/>
    </row>
    <row r="399" spans="1:6" x14ac:dyDescent="0.25">
      <c r="A399" s="115">
        <v>28</v>
      </c>
      <c r="B399" s="189" t="str">
        <f ca="1">IF(INDIRECT("'SGO #2(Tiered or Simple)'!B208")=0, " ",INDIRECT("'SGO #2(Tiered or Simple)'!B208"))</f>
        <v xml:space="preserve"> </v>
      </c>
      <c r="C399" s="189"/>
      <c r="D399" s="115">
        <v>58</v>
      </c>
      <c r="E399" s="187" t="str">
        <f ca="1">IF(INDIRECT("'SGO #2(Tiered or Simple)'!B238")=0, " ",INDIRECT("'SGO #2(Tiered or Simple)'!B238"))</f>
        <v xml:space="preserve"> </v>
      </c>
      <c r="F399" s="187"/>
    </row>
    <row r="400" spans="1:6" x14ac:dyDescent="0.25">
      <c r="A400" s="115">
        <v>29</v>
      </c>
      <c r="B400" s="189" t="str">
        <f ca="1">IF(INDIRECT("'SGO #2(Tiered or Simple)'!B209")=0, " ",INDIRECT("'SGO #2(Tiered or Simple)'!B209"))</f>
        <v xml:space="preserve"> </v>
      </c>
      <c r="C400" s="189"/>
      <c r="D400" s="115">
        <v>59</v>
      </c>
      <c r="E400" s="187" t="str">
        <f ca="1">IF(INDIRECT("'SGO #2(Tiered or Simple)'!B239")=0, " ",INDIRECT("'SGO #2(Tiered or Simple)'!B239"))</f>
        <v xml:space="preserve"> </v>
      </c>
      <c r="F400" s="187"/>
    </row>
    <row r="401" spans="1:6" x14ac:dyDescent="0.25">
      <c r="A401" s="115">
        <v>30</v>
      </c>
      <c r="B401" s="189" t="str">
        <f ca="1">IF(INDIRECT("'SGO #2(Tiered or Simple)'!B210")=0, " ",INDIRECT("'SGO #2(Tiered or Simple)'!B210"))</f>
        <v xml:space="preserve"> </v>
      </c>
      <c r="C401" s="189"/>
      <c r="D401" s="115">
        <v>60</v>
      </c>
      <c r="E401" s="187" t="str">
        <f ca="1">IF(INDIRECT("'SGO #2(Tiered or Simple)'!B240")=0, " ",INDIRECT("'SGO #2(Tiered or Simple)'!B240"))</f>
        <v xml:space="preserve"> </v>
      </c>
      <c r="F401" s="187"/>
    </row>
    <row r="402" spans="1:6" x14ac:dyDescent="0.25">
      <c r="A402" s="115">
        <v>61</v>
      </c>
      <c r="B402" s="189" t="str">
        <f ca="1">IF(INDIRECT("'SGO #2(Tiered or Simple)'!B241")=0, " ",INDIRECT("'SGO #2(Tiered or Simple)'!B241"))</f>
        <v xml:space="preserve"> </v>
      </c>
      <c r="C402" s="189"/>
      <c r="D402" s="115">
        <v>106</v>
      </c>
      <c r="E402" s="187" t="str">
        <f ca="1">IF(INDIRECT("'SGO #2(Tiered or Simple)'!B286")=0, " ",INDIRECT("'SGO #2(Tiered or Simple)'!B286"))</f>
        <v xml:space="preserve"> </v>
      </c>
      <c r="F402" s="187"/>
    </row>
    <row r="403" spans="1:6" x14ac:dyDescent="0.25">
      <c r="A403" s="115">
        <v>62</v>
      </c>
      <c r="B403" s="189" t="str">
        <f ca="1">IF(INDIRECT("'SGO #2(Tiered or Simple)'!B242")=0, " ",INDIRECT("'SGO #2(Tiered or Simple)'!B242"))</f>
        <v xml:space="preserve"> </v>
      </c>
      <c r="C403" s="189"/>
      <c r="D403" s="115">
        <v>107</v>
      </c>
      <c r="E403" s="187" t="str">
        <f ca="1">IF(INDIRECT("'SGO #2(Tiered or Simple)'!B287")=0, " ",INDIRECT("'SGO #2(Tiered or Simple)'!B287"))</f>
        <v xml:space="preserve"> </v>
      </c>
      <c r="F403" s="187"/>
    </row>
    <row r="404" spans="1:6" x14ac:dyDescent="0.25">
      <c r="A404" s="115">
        <v>63</v>
      </c>
      <c r="B404" s="189" t="str">
        <f ca="1">IF(INDIRECT("'SGO #2(Tiered or Simple)'!B243")=0, " ",INDIRECT("'SGO #2(Tiered or Simple)'!B243"))</f>
        <v xml:space="preserve"> </v>
      </c>
      <c r="C404" s="189"/>
      <c r="D404" s="115">
        <v>108</v>
      </c>
      <c r="E404" s="187" t="str">
        <f ca="1">IF(INDIRECT("'SGO #2(Tiered or Simple)'!B288")=0, " ",INDIRECT("'SGO #2(Tiered or Simple)'!B288"))</f>
        <v xml:space="preserve"> </v>
      </c>
      <c r="F404" s="187"/>
    </row>
    <row r="405" spans="1:6" x14ac:dyDescent="0.25">
      <c r="A405" s="115">
        <v>64</v>
      </c>
      <c r="B405" s="189" t="str">
        <f ca="1">IF(INDIRECT("'SGO #2(Tiered or Simple)'!B244")=0, " ",INDIRECT("'SGO #2(Tiered or Simple)'!B244"))</f>
        <v xml:space="preserve"> </v>
      </c>
      <c r="C405" s="189"/>
      <c r="D405" s="115">
        <v>109</v>
      </c>
      <c r="E405" s="187" t="str">
        <f ca="1">IF(INDIRECT("'SGO #2(Tiered or Simple)'!B289")=0, " ",INDIRECT("'SGO #2(Tiered or Simple)'!B289"))</f>
        <v xml:space="preserve"> </v>
      </c>
      <c r="F405" s="187"/>
    </row>
    <row r="406" spans="1:6" x14ac:dyDescent="0.25">
      <c r="A406" s="115">
        <v>65</v>
      </c>
      <c r="B406" s="189" t="str">
        <f ca="1">IF(INDIRECT("'SGO #2(Tiered or Simple)'!B245")=0, " ",INDIRECT("'SGO #2(Tiered or Simple)'!B245"))</f>
        <v xml:space="preserve"> </v>
      </c>
      <c r="C406" s="189"/>
      <c r="D406" s="115">
        <v>110</v>
      </c>
      <c r="E406" s="187" t="str">
        <f ca="1">IF(INDIRECT("'SGO #2(Tiered or Simple)'!B290")=0, " ",INDIRECT("'SGO #2(Tiered or Simple)'!B290"))</f>
        <v xml:space="preserve"> </v>
      </c>
      <c r="F406" s="187"/>
    </row>
    <row r="407" spans="1:6" x14ac:dyDescent="0.25">
      <c r="A407" s="115">
        <v>66</v>
      </c>
      <c r="B407" s="189" t="str">
        <f ca="1">IF(INDIRECT("'SGO #2(Tiered or Simple)'!B246")=0, " ",INDIRECT("'SGO #2(Tiered or Simple)'!B246"))</f>
        <v xml:space="preserve"> </v>
      </c>
      <c r="C407" s="189"/>
      <c r="D407" s="115">
        <v>111</v>
      </c>
      <c r="E407" s="187" t="str">
        <f ca="1">IF(INDIRECT("'SGO #2(Tiered or Simple)'!B291")=0, " ",INDIRECT("'SGO #2(Tiered or Simple)'!B291"))</f>
        <v xml:space="preserve"> </v>
      </c>
      <c r="F407" s="187"/>
    </row>
    <row r="408" spans="1:6" x14ac:dyDescent="0.25">
      <c r="A408" s="115">
        <v>67</v>
      </c>
      <c r="B408" s="189" t="str">
        <f ca="1">IF(INDIRECT("'SGO #2(Tiered or Simple)'!B247")=0, " ",INDIRECT("'SGO #2(Tiered or Simple)'!B247"))</f>
        <v xml:space="preserve"> </v>
      </c>
      <c r="C408" s="189"/>
      <c r="D408" s="115">
        <v>112</v>
      </c>
      <c r="E408" s="187" t="str">
        <f ca="1">IF(INDIRECT("'SGO #2(Tiered or Simple)'!B292")=0, " ",INDIRECT("'SGO #2(Tiered or Simple)'!B292"))</f>
        <v xml:space="preserve"> </v>
      </c>
      <c r="F408" s="187"/>
    </row>
    <row r="409" spans="1:6" x14ac:dyDescent="0.25">
      <c r="A409" s="115">
        <v>68</v>
      </c>
      <c r="B409" s="189" t="str">
        <f ca="1">IF(INDIRECT("'SGO #2(Tiered or Simple)'!B248")=0, " ",INDIRECT("'SGO #2(Tiered or Simple)'!B248"))</f>
        <v xml:space="preserve"> </v>
      </c>
      <c r="C409" s="189"/>
      <c r="D409" s="115">
        <v>113</v>
      </c>
      <c r="E409" s="187" t="str">
        <f ca="1">IF(INDIRECT("'SGO #2(Tiered or Simple)'!B293")=0, " ",INDIRECT("'SGO #2(Tiered or Simple)'!B293"))</f>
        <v xml:space="preserve"> </v>
      </c>
      <c r="F409" s="187"/>
    </row>
    <row r="410" spans="1:6" x14ac:dyDescent="0.25">
      <c r="A410" s="115">
        <v>69</v>
      </c>
      <c r="B410" s="189" t="str">
        <f ca="1">IF(INDIRECT("'SGO #2(Tiered or Simple)'!B249")=0, " ",INDIRECT("'SGO #2(Tiered or Simple)'!B249"))</f>
        <v xml:space="preserve"> </v>
      </c>
      <c r="C410" s="189"/>
      <c r="D410" s="115">
        <v>114</v>
      </c>
      <c r="E410" s="187" t="str">
        <f ca="1">IF(INDIRECT("'SGO #2(Tiered or Simple)'!B294")=0, " ",INDIRECT("'SGO #2(Tiered or Simple)'!B294"))</f>
        <v xml:space="preserve"> </v>
      </c>
      <c r="F410" s="187"/>
    </row>
    <row r="411" spans="1:6" x14ac:dyDescent="0.25">
      <c r="A411" s="115">
        <v>70</v>
      </c>
      <c r="B411" s="189" t="str">
        <f ca="1">IF(INDIRECT("'SGO #2(Tiered or Simple)'!B250")=0, " ",INDIRECT("'SGO #2(Tiered or Simple)'!B250"))</f>
        <v xml:space="preserve"> </v>
      </c>
      <c r="C411" s="189"/>
      <c r="D411" s="115">
        <v>115</v>
      </c>
      <c r="E411" s="187" t="str">
        <f ca="1">IF(INDIRECT("'SGO #2(Tiered or Simple)'!B295")=0, " ",INDIRECT("'SGO #2(Tiered or Simple)'!B295"))</f>
        <v xml:space="preserve"> </v>
      </c>
      <c r="F411" s="187"/>
    </row>
    <row r="412" spans="1:6" x14ac:dyDescent="0.25">
      <c r="A412" s="115">
        <v>71</v>
      </c>
      <c r="B412" s="189" t="str">
        <f ca="1">IF(INDIRECT("'SGO #2(Tiered or Simple)'!B251")=0, " ",INDIRECT("'SGO #2(Tiered or Simple)'!B251"))</f>
        <v xml:space="preserve"> </v>
      </c>
      <c r="C412" s="189"/>
      <c r="D412" s="115">
        <v>116</v>
      </c>
      <c r="E412" s="187" t="str">
        <f ca="1">IF(INDIRECT("'SGO #2(Tiered or Simple)'!B296")=0, " ",INDIRECT("'SGO #2(Tiered or Simple)'!B296"))</f>
        <v xml:space="preserve"> </v>
      </c>
      <c r="F412" s="187"/>
    </row>
    <row r="413" spans="1:6" x14ac:dyDescent="0.25">
      <c r="A413" s="115">
        <v>72</v>
      </c>
      <c r="B413" s="189" t="str">
        <f ca="1">IF(INDIRECT("'SGO #2(Tiered or Simple)'!B252")=0, " ",INDIRECT("'SGO #2(Tiered or Simple)'!B252"))</f>
        <v xml:space="preserve"> </v>
      </c>
      <c r="C413" s="189"/>
      <c r="D413" s="115">
        <v>117</v>
      </c>
      <c r="E413" s="187" t="str">
        <f ca="1">IF(INDIRECT("'SGO #2(Tiered or Simple)'!B297")=0, " ",INDIRECT("'SGO #2(Tiered or Simple)'!B297"))</f>
        <v xml:space="preserve"> </v>
      </c>
      <c r="F413" s="187"/>
    </row>
    <row r="414" spans="1:6" x14ac:dyDescent="0.25">
      <c r="A414" s="115">
        <v>73</v>
      </c>
      <c r="B414" s="189" t="str">
        <f ca="1">IF(INDIRECT("'SGO #2(Tiered or Simple)'!B253")=0, " ",INDIRECT("'SGO #2(Tiered or Simple)'!B253"))</f>
        <v xml:space="preserve"> </v>
      </c>
      <c r="C414" s="189"/>
      <c r="D414" s="115">
        <v>118</v>
      </c>
      <c r="E414" s="187" t="str">
        <f ca="1">IF(INDIRECT("'SGO #2(Tiered or Simple)'!B298")=0, " ",INDIRECT("'SGO #2(Tiered or Simple)'!B298"))</f>
        <v xml:space="preserve"> </v>
      </c>
      <c r="F414" s="187"/>
    </row>
    <row r="415" spans="1:6" x14ac:dyDescent="0.25">
      <c r="A415" s="115">
        <v>74</v>
      </c>
      <c r="B415" s="189" t="str">
        <f ca="1">IF(INDIRECT("'SGO #2(Tiered or Simple)'!B254")=0, " ",INDIRECT("'SGO #2(Tiered or Simple)'!B254"))</f>
        <v xml:space="preserve"> </v>
      </c>
      <c r="C415" s="189"/>
      <c r="D415" s="115">
        <v>119</v>
      </c>
      <c r="E415" s="187" t="str">
        <f ca="1">IF(INDIRECT("'SGO #2(Tiered or Simple)'!B299")=0, " ",INDIRECT("'SGO #2(Tiered or Simple)'!B299"))</f>
        <v xml:space="preserve"> </v>
      </c>
      <c r="F415" s="187"/>
    </row>
    <row r="416" spans="1:6" x14ac:dyDescent="0.25">
      <c r="A416" s="115">
        <v>75</v>
      </c>
      <c r="B416" s="189" t="str">
        <f ca="1">IF(INDIRECT("'SGO #2(Tiered or Simple)'!B255")=0, " ",INDIRECT("'SGO #2(Tiered or Simple)'!B255"))</f>
        <v xml:space="preserve"> </v>
      </c>
      <c r="C416" s="189"/>
      <c r="D416" s="115">
        <v>120</v>
      </c>
      <c r="E416" s="187" t="str">
        <f ca="1">IF(INDIRECT("'SGO #2(Tiered or Simple)'!B300")=0, " ",INDIRECT("'SGO #2(Tiered or Simple)'!B300"))</f>
        <v xml:space="preserve"> </v>
      </c>
      <c r="F416" s="187"/>
    </row>
    <row r="417" spans="1:6" x14ac:dyDescent="0.25">
      <c r="A417" s="115">
        <v>76</v>
      </c>
      <c r="B417" s="189" t="str">
        <f ca="1">IF(INDIRECT("'SGO #2(Tiered or Simple)'!B256")=0, " ",INDIRECT("'SGO #2(Tiered or Simple)'!B256"))</f>
        <v xml:space="preserve"> </v>
      </c>
      <c r="C417" s="189"/>
      <c r="D417" s="115">
        <v>121</v>
      </c>
      <c r="E417" s="187" t="str">
        <f ca="1">IF(INDIRECT("'SGO #2(Tiered or Simple)'!B301")=0, " ",INDIRECT("'SGO #2(Tiered or Simple)'!B301"))</f>
        <v xml:space="preserve"> </v>
      </c>
      <c r="F417" s="187"/>
    </row>
    <row r="418" spans="1:6" x14ac:dyDescent="0.25">
      <c r="A418" s="115">
        <v>77</v>
      </c>
      <c r="B418" s="189" t="str">
        <f ca="1">IF(INDIRECT("'SGO #2(Tiered or Simple)'!B257")=0, " ",INDIRECT("'SGO #2(Tiered or Simple)'!B257"))</f>
        <v xml:space="preserve"> </v>
      </c>
      <c r="C418" s="189"/>
      <c r="D418" s="115">
        <v>122</v>
      </c>
      <c r="E418" s="187" t="str">
        <f ca="1">IF(INDIRECT("'SGO #2(Tiered or Simple)'!B302")=0, " ",INDIRECT("'SGO #2(Tiered or Simple)'!B302"))</f>
        <v xml:space="preserve"> </v>
      </c>
      <c r="F418" s="187"/>
    </row>
    <row r="419" spans="1:6" x14ac:dyDescent="0.25">
      <c r="A419" s="115">
        <v>78</v>
      </c>
      <c r="B419" s="189" t="str">
        <f ca="1">IF(INDIRECT("'SGO #2(Tiered or Simple)'!B258")=0, " ",INDIRECT("'SGO #2(Tiered or Simple)'!B258"))</f>
        <v xml:space="preserve"> </v>
      </c>
      <c r="C419" s="189"/>
      <c r="D419" s="115">
        <v>123</v>
      </c>
      <c r="E419" s="187" t="str">
        <f ca="1">IF(INDIRECT("'SGO #2(Tiered or Simple)'!B303")=0, " ",INDIRECT("'SGO #2(Tiered or Simple)'!B303"))</f>
        <v xml:space="preserve"> </v>
      </c>
      <c r="F419" s="187"/>
    </row>
    <row r="420" spans="1:6" x14ac:dyDescent="0.25">
      <c r="A420" s="115">
        <v>79</v>
      </c>
      <c r="B420" s="189" t="str">
        <f ca="1">IF(INDIRECT("'SGO #2(Tiered or Simple)'!B259")=0, " ",INDIRECT("'SGO #2(Tiered or Simple)'!B259"))</f>
        <v xml:space="preserve"> </v>
      </c>
      <c r="C420" s="189"/>
      <c r="D420" s="115">
        <v>124</v>
      </c>
      <c r="E420" s="187" t="str">
        <f ca="1">IF(INDIRECT("'SGO #2(Tiered or Simple)'!B304")=0, " ",INDIRECT("'SGO #2(Tiered or Simple)'!B304"))</f>
        <v xml:space="preserve"> </v>
      </c>
      <c r="F420" s="187"/>
    </row>
    <row r="421" spans="1:6" x14ac:dyDescent="0.25">
      <c r="A421" s="115">
        <v>80</v>
      </c>
      <c r="B421" s="189" t="str">
        <f ca="1">IF(INDIRECT("'SGO #2(Tiered or Simple)'!B260")=0, " ",INDIRECT("'SGO #2(Tiered or Simple)'!B260"))</f>
        <v xml:space="preserve"> </v>
      </c>
      <c r="C421" s="189"/>
      <c r="D421" s="115">
        <v>125</v>
      </c>
      <c r="E421" s="187" t="str">
        <f ca="1">IF(INDIRECT("'SGO #2(Tiered or Simple)'!B305")=0, " ",INDIRECT("'SGO #2(Tiered or Simple)'!B305"))</f>
        <v xml:space="preserve"> </v>
      </c>
      <c r="F421" s="187"/>
    </row>
    <row r="422" spans="1:6" x14ac:dyDescent="0.25">
      <c r="A422" s="115">
        <v>81</v>
      </c>
      <c r="B422" s="189" t="str">
        <f ca="1">IF(INDIRECT("'SGO #2(Tiered or Simple)'!B261")=0, " ",INDIRECT("'SGO #2(Tiered or Simple)'!B261"))</f>
        <v xml:space="preserve"> </v>
      </c>
      <c r="C422" s="189"/>
      <c r="D422" s="115">
        <v>126</v>
      </c>
      <c r="E422" s="187" t="str">
        <f ca="1">IF(INDIRECT("'SGO #2(Tiered or Simple)'!B306")=0, " ",INDIRECT("'SGO #2(Tiered or Simple)'!B306"))</f>
        <v xml:space="preserve"> </v>
      </c>
      <c r="F422" s="187"/>
    </row>
    <row r="423" spans="1:6" x14ac:dyDescent="0.25">
      <c r="A423" s="115">
        <v>82</v>
      </c>
      <c r="B423" s="189" t="str">
        <f ca="1">IF(INDIRECT("'SGO #2(Tiered or Simple)'!B262")=0, " ",INDIRECT("'SGO #2(Tiered or Simple)'!B262"))</f>
        <v xml:space="preserve"> </v>
      </c>
      <c r="C423" s="189"/>
      <c r="D423" s="115">
        <v>127</v>
      </c>
      <c r="E423" s="187" t="str">
        <f ca="1">IF(INDIRECT("'SGO #2(Tiered or Simple)'!B307")=0, " ",INDIRECT("'SGO #2(Tiered or Simple)'!B307"))</f>
        <v xml:space="preserve"> </v>
      </c>
      <c r="F423" s="187"/>
    </row>
    <row r="424" spans="1:6" x14ac:dyDescent="0.25">
      <c r="A424" s="115">
        <v>83</v>
      </c>
      <c r="B424" s="189" t="str">
        <f ca="1">IF(INDIRECT("'SGO #2(Tiered or Simple)'!B263")=0, " ",INDIRECT("'SGO #2(Tiered or Simple)'!B263"))</f>
        <v xml:space="preserve"> </v>
      </c>
      <c r="C424" s="189"/>
      <c r="D424" s="115">
        <v>128</v>
      </c>
      <c r="E424" s="187" t="str">
        <f ca="1">IF(INDIRECT("'SGO #2(Tiered or Simple)'!B308")=0, " ",INDIRECT("'SGO #2(Tiered or Simple)'!B308"))</f>
        <v xml:space="preserve"> </v>
      </c>
      <c r="F424" s="187"/>
    </row>
    <row r="425" spans="1:6" x14ac:dyDescent="0.25">
      <c r="A425" s="115">
        <v>84</v>
      </c>
      <c r="B425" s="189" t="str">
        <f ca="1">IF(INDIRECT("'SGO #2(Tiered or Simple)'!B264")=0, " ",INDIRECT("'SGO #2(Tiered or Simple)'!B264"))</f>
        <v xml:space="preserve"> </v>
      </c>
      <c r="C425" s="189"/>
      <c r="D425" s="115">
        <v>129</v>
      </c>
      <c r="E425" s="187" t="str">
        <f ca="1">IF(INDIRECT("'SGO #2(Tiered or Simple)'!B309")=0, " ",INDIRECT("'SGO #2(Tiered or Simple)'!B309"))</f>
        <v xml:space="preserve"> </v>
      </c>
      <c r="F425" s="187"/>
    </row>
    <row r="426" spans="1:6" x14ac:dyDescent="0.25">
      <c r="A426" s="115">
        <v>85</v>
      </c>
      <c r="B426" s="189" t="str">
        <f ca="1">IF(INDIRECT("'SGO #2(Tiered or Simple)'!B265")=0, " ",INDIRECT("'SGO #2(Tiered or Simple)'!B265"))</f>
        <v xml:space="preserve"> </v>
      </c>
      <c r="C426" s="189"/>
      <c r="D426" s="115">
        <v>130</v>
      </c>
      <c r="E426" s="187" t="str">
        <f ca="1">IF(INDIRECT("'SGO #2(Tiered or Simple)'!B310")=0, " ",INDIRECT("'SGO #2(Tiered or Simple)'!B310"))</f>
        <v xml:space="preserve"> </v>
      </c>
      <c r="F426" s="187"/>
    </row>
    <row r="427" spans="1:6" x14ac:dyDescent="0.25">
      <c r="A427" s="115">
        <v>86</v>
      </c>
      <c r="B427" s="189" t="str">
        <f ca="1">IF(INDIRECT("'SGO #2(Tiered or Simple)'!B266")=0, " ",INDIRECT("'SGO #2(Tiered or Simple)'!B266"))</f>
        <v xml:space="preserve"> </v>
      </c>
      <c r="C427" s="189"/>
      <c r="D427" s="115">
        <v>131</v>
      </c>
      <c r="E427" s="187" t="str">
        <f ca="1">IF(INDIRECT("'SGO #2(Tiered or Simple)'!B311")=0, " ",INDIRECT("'SGO #2(Tiered or Simple)'!B311"))</f>
        <v xml:space="preserve"> </v>
      </c>
      <c r="F427" s="187"/>
    </row>
    <row r="428" spans="1:6" x14ac:dyDescent="0.25">
      <c r="A428" s="115">
        <v>87</v>
      </c>
      <c r="B428" s="189" t="str">
        <f ca="1">IF(INDIRECT("'SGO #2(Tiered or Simple)'!B267")=0, " ",INDIRECT("'SGO #2(Tiered or Simple)'!B267"))</f>
        <v xml:space="preserve"> </v>
      </c>
      <c r="C428" s="189"/>
      <c r="D428" s="115">
        <v>132</v>
      </c>
      <c r="E428" s="187" t="str">
        <f ca="1">IF(INDIRECT("'SGO #2(Tiered or Simple)'!B312")=0, " ",INDIRECT("'SGO #2(Tiered or Simple)'!B312"))</f>
        <v xml:space="preserve"> </v>
      </c>
      <c r="F428" s="187"/>
    </row>
    <row r="429" spans="1:6" x14ac:dyDescent="0.25">
      <c r="A429" s="115">
        <v>88</v>
      </c>
      <c r="B429" s="189" t="str">
        <f ca="1">IF(INDIRECT("'SGO #2(Tiered or Simple)'!B268")=0, " ",INDIRECT("'SGO #2(Tiered or Simple)'!B268"))</f>
        <v xml:space="preserve"> </v>
      </c>
      <c r="C429" s="189"/>
      <c r="D429" s="115">
        <v>133</v>
      </c>
      <c r="E429" s="187" t="str">
        <f ca="1">IF(INDIRECT("'SGO #2(Tiered or Simple)'!B313")=0, " ",INDIRECT("'SGO #2(Tiered or Simple)'!B313"))</f>
        <v xml:space="preserve"> </v>
      </c>
      <c r="F429" s="187"/>
    </row>
    <row r="430" spans="1:6" x14ac:dyDescent="0.25">
      <c r="A430" s="115">
        <v>89</v>
      </c>
      <c r="B430" s="189" t="str">
        <f ca="1">IF(INDIRECT("'SGO #2(Tiered or Simple)'!B269")=0, " ",INDIRECT("'SGO #2(Tiered or Simple)'!B269"))</f>
        <v xml:space="preserve"> </v>
      </c>
      <c r="C430" s="189"/>
      <c r="D430" s="115">
        <v>134</v>
      </c>
      <c r="E430" s="187" t="str">
        <f ca="1">IF(INDIRECT("'SGO #2(Tiered or Simple)'!B314")=0, " ",INDIRECT("'SGO #2(Tiered or Simple)'!B314"))</f>
        <v xml:space="preserve"> </v>
      </c>
      <c r="F430" s="187"/>
    </row>
    <row r="431" spans="1:6" x14ac:dyDescent="0.25">
      <c r="A431" s="115">
        <v>90</v>
      </c>
      <c r="B431" s="189" t="str">
        <f ca="1">IF(INDIRECT("'SGO #2(Tiered or Simple)'!B270")=0, " ",INDIRECT("'SGO #2(Tiered or Simple)'!B270"))</f>
        <v xml:space="preserve"> </v>
      </c>
      <c r="C431" s="189"/>
      <c r="D431" s="115">
        <v>135</v>
      </c>
      <c r="E431" s="187" t="str">
        <f ca="1">IF(INDIRECT("'SGO #2(Tiered or Simple)'!B315")=0, " ",INDIRECT("'SGO #2(Tiered or Simple)'!B315"))</f>
        <v xml:space="preserve"> </v>
      </c>
      <c r="F431" s="187"/>
    </row>
    <row r="432" spans="1:6" x14ac:dyDescent="0.25">
      <c r="A432" s="115">
        <v>91</v>
      </c>
      <c r="B432" s="189" t="str">
        <f ca="1">IF(INDIRECT("'SGO #2(Tiered or Simple)'!B271")=0, " ",INDIRECT("'SGO #2(Tiered or Simple)'!B271"))</f>
        <v xml:space="preserve"> </v>
      </c>
      <c r="C432" s="189"/>
      <c r="D432" s="115">
        <v>136</v>
      </c>
      <c r="E432" s="187" t="str">
        <f ca="1">IF(INDIRECT("'SGO #2(Tiered or Simple)'!B316")=0, " ",INDIRECT("'SGO #2(Tiered or Simple)'!B316"))</f>
        <v xml:space="preserve"> </v>
      </c>
      <c r="F432" s="187"/>
    </row>
    <row r="433" spans="1:6" x14ac:dyDescent="0.25">
      <c r="A433" s="115">
        <v>92</v>
      </c>
      <c r="B433" s="189" t="str">
        <f ca="1">IF(INDIRECT("'SGO #2(Tiered or Simple)'!B272")=0, " ",INDIRECT("'SGO #2(Tiered or Simple)'!B272"))</f>
        <v xml:space="preserve"> </v>
      </c>
      <c r="C433" s="189"/>
      <c r="D433" s="115">
        <v>137</v>
      </c>
      <c r="E433" s="187" t="str">
        <f ca="1">IF(INDIRECT("'SGO #2(Tiered or Simple)'!B317")=0, " ",INDIRECT("'SGO #2(Tiered or Simple)'!B317"))</f>
        <v xml:space="preserve"> </v>
      </c>
      <c r="F433" s="187"/>
    </row>
    <row r="434" spans="1:6" x14ac:dyDescent="0.25">
      <c r="A434" s="115">
        <v>93</v>
      </c>
      <c r="B434" s="189" t="str">
        <f ca="1">IF(INDIRECT("'SGO #2(Tiered or Simple)'!B273")=0, " ",INDIRECT("'SGO #2(Tiered or Simple)'!B273"))</f>
        <v xml:space="preserve"> </v>
      </c>
      <c r="C434" s="189"/>
      <c r="D434" s="115">
        <v>138</v>
      </c>
      <c r="E434" s="187" t="str">
        <f ca="1">IF(INDIRECT("'SGO #2(Tiered or Simple)'!B318")=0, " ",INDIRECT("'SGO #2(Tiered or Simple)'!B318"))</f>
        <v xml:space="preserve"> </v>
      </c>
      <c r="F434" s="187"/>
    </row>
    <row r="435" spans="1:6" x14ac:dyDescent="0.25">
      <c r="A435" s="115">
        <v>94</v>
      </c>
      <c r="B435" s="189" t="str">
        <f ca="1">IF(INDIRECT("'SGO #2(Tiered or Simple)'!B274")=0, " ",INDIRECT("'SGO #2(Tiered or Simple)'!B274"))</f>
        <v xml:space="preserve"> </v>
      </c>
      <c r="C435" s="189"/>
      <c r="D435" s="115">
        <v>139</v>
      </c>
      <c r="E435" s="187" t="str">
        <f ca="1">IF(INDIRECT("'SGO #2(Tiered or Simple)'!B319")=0, " ",INDIRECT("'SGO #2(Tiered or Simple)'!B319"))</f>
        <v xml:space="preserve"> </v>
      </c>
      <c r="F435" s="187"/>
    </row>
    <row r="436" spans="1:6" x14ac:dyDescent="0.25">
      <c r="A436" s="115">
        <v>95</v>
      </c>
      <c r="B436" s="189" t="str">
        <f ca="1">IF(INDIRECT("'SGO #2(Tiered or Simple)'!B275")=0, " ",INDIRECT("'SGO #2(Tiered or Simple)'!B275"))</f>
        <v xml:space="preserve"> </v>
      </c>
      <c r="C436" s="189"/>
      <c r="D436" s="115">
        <v>140</v>
      </c>
      <c r="E436" s="187" t="str">
        <f ca="1">IF(INDIRECT("'SGO #2(Tiered or Simple)'!B320")=0, " ",INDIRECT("'SGO #2(Tiered or Simple)'!B320"))</f>
        <v xml:space="preserve"> </v>
      </c>
      <c r="F436" s="187"/>
    </row>
    <row r="437" spans="1:6" x14ac:dyDescent="0.25">
      <c r="A437" s="115">
        <v>96</v>
      </c>
      <c r="B437" s="189" t="str">
        <f ca="1">IF(INDIRECT("'SGO #2(Tiered or Simple)'!B276")=0, " ",INDIRECT("'SGO #2(Tiered or Simple)'!B276"))</f>
        <v xml:space="preserve"> </v>
      </c>
      <c r="C437" s="189"/>
      <c r="D437" s="115">
        <v>141</v>
      </c>
      <c r="E437" s="187" t="str">
        <f ca="1">IF(INDIRECT("'SGO #2(Tiered or Simple)'!B321")=0, " ",INDIRECT("'SGO #2(Tiered or Simple)'!B321"))</f>
        <v xml:space="preserve"> </v>
      </c>
      <c r="F437" s="187"/>
    </row>
    <row r="438" spans="1:6" x14ac:dyDescent="0.25">
      <c r="A438" s="115">
        <v>97</v>
      </c>
      <c r="B438" s="189" t="str">
        <f ca="1">IF(INDIRECT("'SGO #2(Tiered or Simple)'!B277")=0, " ",INDIRECT("'SGO #2(Tiered or Simple)'!B277"))</f>
        <v xml:space="preserve"> </v>
      </c>
      <c r="C438" s="189"/>
      <c r="D438" s="115">
        <v>142</v>
      </c>
      <c r="E438" s="187" t="str">
        <f ca="1">IF(INDIRECT("'SGO #2(Tiered or Simple)'!B322")=0, " ",INDIRECT("'SGO #2(Tiered or Simple)'!B322"))</f>
        <v xml:space="preserve"> </v>
      </c>
      <c r="F438" s="187"/>
    </row>
    <row r="439" spans="1:6" x14ac:dyDescent="0.25">
      <c r="A439" s="115">
        <v>98</v>
      </c>
      <c r="B439" s="189" t="str">
        <f ca="1">IF(INDIRECT("'SGO #2(Tiered or Simple)'!B278")=0, " ",INDIRECT("'SGO #2(Tiered or Simple)'!B278"))</f>
        <v xml:space="preserve"> </v>
      </c>
      <c r="C439" s="189"/>
      <c r="D439" s="115">
        <v>143</v>
      </c>
      <c r="E439" s="187" t="str">
        <f ca="1">IF(INDIRECT("'SGO #2(Tiered or Simple)'!B323")=0, " ",INDIRECT("'SGO #2(Tiered or Simple)'!B323"))</f>
        <v xml:space="preserve"> </v>
      </c>
      <c r="F439" s="187"/>
    </row>
    <row r="440" spans="1:6" x14ac:dyDescent="0.25">
      <c r="A440" s="115">
        <v>99</v>
      </c>
      <c r="B440" s="189" t="str">
        <f ca="1">IF(INDIRECT("'SGO #2(Tiered or Simple)'!B279")=0, " ",INDIRECT("'SGO #2(Tiered or Simple)'!B279"))</f>
        <v xml:space="preserve"> </v>
      </c>
      <c r="C440" s="189"/>
      <c r="D440" s="115">
        <v>144</v>
      </c>
      <c r="E440" s="187" t="str">
        <f ca="1">IF(INDIRECT("'SGO #2(Tiered or Simple)'!B324")=0, " ",INDIRECT("'SGO #2(Tiered or Simple)'!B324"))</f>
        <v xml:space="preserve"> </v>
      </c>
      <c r="F440" s="187"/>
    </row>
    <row r="441" spans="1:6" x14ac:dyDescent="0.25">
      <c r="A441" s="115">
        <v>100</v>
      </c>
      <c r="B441" s="189" t="str">
        <f ca="1">IF(INDIRECT("'SGO #2(Tiered or Simple)'!B280")=0, " ",INDIRECT("'SGO #2(Tiered or Simple)'!B280"))</f>
        <v xml:space="preserve"> </v>
      </c>
      <c r="C441" s="189"/>
      <c r="D441" s="115">
        <v>145</v>
      </c>
      <c r="E441" s="187" t="str">
        <f ca="1">IF(INDIRECT("'SGO #2(Tiered or Simple)'!B325")=0, " ",INDIRECT("'SGO #2(Tiered or Simple)'!B325"))</f>
        <v xml:space="preserve"> </v>
      </c>
      <c r="F441" s="187"/>
    </row>
    <row r="442" spans="1:6" x14ac:dyDescent="0.25">
      <c r="A442" s="115">
        <v>101</v>
      </c>
      <c r="B442" s="189" t="str">
        <f ca="1">IF(INDIRECT("'SGO #2(Tiered or Simple)'!B281")=0, " ",INDIRECT("'SGO #2(Tiered or Simple)'!B281"))</f>
        <v xml:space="preserve"> </v>
      </c>
      <c r="C442" s="189"/>
      <c r="D442" s="115">
        <v>146</v>
      </c>
      <c r="E442" s="187" t="str">
        <f ca="1">IF(INDIRECT("'SGO #2(Tiered or Simple)'!B326")=0, " ",INDIRECT("'SGO #2(Tiered or Simple)'!B326"))</f>
        <v xml:space="preserve"> </v>
      </c>
      <c r="F442" s="187"/>
    </row>
    <row r="443" spans="1:6" x14ac:dyDescent="0.25">
      <c r="A443" s="115">
        <v>102</v>
      </c>
      <c r="B443" s="189" t="str">
        <f ca="1">IF(INDIRECT("'SGO #2(Tiered or Simple)'!B282")=0, " ",INDIRECT("'SGO #2(Tiered or Simple)'!B282"))</f>
        <v xml:space="preserve"> </v>
      </c>
      <c r="C443" s="189"/>
      <c r="D443" s="115">
        <v>147</v>
      </c>
      <c r="E443" s="187" t="str">
        <f ca="1">IF(INDIRECT("'SGO #2(Tiered or Simple)'!B327")=0, " ",INDIRECT("'SGO #2(Tiered or Simple)'!B327"))</f>
        <v xml:space="preserve"> </v>
      </c>
      <c r="F443" s="187"/>
    </row>
    <row r="444" spans="1:6" x14ac:dyDescent="0.25">
      <c r="A444" s="115">
        <v>103</v>
      </c>
      <c r="B444" s="189" t="str">
        <f ca="1">IF(INDIRECT("'SGO #2(Tiered or Simple)'!B283")=0, " ",INDIRECT("'SGO #2(Tiered or Simple)'!B283"))</f>
        <v xml:space="preserve"> </v>
      </c>
      <c r="C444" s="189"/>
      <c r="D444" s="115">
        <v>148</v>
      </c>
      <c r="E444" s="187" t="str">
        <f ca="1">IF(INDIRECT("'SGO #2(Tiered or Simple)'!B328")=0, " ",INDIRECT("'SGO #2(Tiered or Simple)'!B328"))</f>
        <v xml:space="preserve"> </v>
      </c>
      <c r="F444" s="187"/>
    </row>
    <row r="445" spans="1:6" x14ac:dyDescent="0.25">
      <c r="A445" s="115">
        <v>104</v>
      </c>
      <c r="B445" s="189" t="str">
        <f ca="1">IF(INDIRECT("'SGO #2(Tiered or Simple)'!B284")=0, " ",INDIRECT("'SGO #2(Tiered or Simple)'!B284"))</f>
        <v xml:space="preserve"> </v>
      </c>
      <c r="C445" s="189"/>
      <c r="D445" s="115">
        <v>149</v>
      </c>
      <c r="E445" s="187" t="str">
        <f ca="1">IF(INDIRECT("'SGO #2(Tiered or Simple)'!B329")=0, " ",INDIRECT("'SGO #2(Tiered or Simple)'!B329"))</f>
        <v xml:space="preserve"> </v>
      </c>
      <c r="F445" s="187"/>
    </row>
    <row r="446" spans="1:6" x14ac:dyDescent="0.25">
      <c r="A446" s="115">
        <v>105</v>
      </c>
      <c r="B446" s="189" t="str">
        <f ca="1">IF(INDIRECT("'SGO #2(Tiered or Simple)'!B285")=0, " ",INDIRECT("'SGO #2(Tiered or Simple)'!B285"))</f>
        <v xml:space="preserve"> </v>
      </c>
      <c r="C446" s="189"/>
      <c r="D446" s="115">
        <v>150</v>
      </c>
      <c r="E446" s="187" t="str">
        <f ca="1">IF(INDIRECT("'SGO #2(Tiered or Simple)'!B330")=0, " ",INDIRECT("'SGO #2(Tiered or Simple)'!B330"))</f>
        <v xml:space="preserve"> </v>
      </c>
      <c r="F446" s="187"/>
    </row>
    <row r="447" spans="1:6" x14ac:dyDescent="0.25">
      <c r="A447" s="115"/>
      <c r="B447" s="189"/>
      <c r="C447" s="189"/>
      <c r="D447" s="115"/>
      <c r="E447" s="187"/>
      <c r="F447" s="187"/>
    </row>
    <row r="448" spans="1:6" ht="15.75" thickBot="1" x14ac:dyDescent="0.3">
      <c r="A448" s="115"/>
      <c r="B448" s="189"/>
      <c r="C448" s="189"/>
      <c r="D448" s="115"/>
      <c r="E448" s="187"/>
      <c r="F448" s="187"/>
    </row>
    <row r="449" spans="1:6" ht="15.75" thickBot="1" x14ac:dyDescent="0.3">
      <c r="A449" s="190" t="s">
        <v>201</v>
      </c>
      <c r="B449" s="191"/>
      <c r="C449" s="191"/>
      <c r="D449" s="191"/>
      <c r="E449" s="191"/>
      <c r="F449" s="192"/>
    </row>
    <row r="450" spans="1:6" ht="15.75" thickBot="1" x14ac:dyDescent="0.3">
      <c r="A450" s="193" t="s">
        <v>28</v>
      </c>
      <c r="B450" s="194"/>
      <c r="C450" s="194"/>
      <c r="D450" s="194"/>
      <c r="E450" s="194"/>
      <c r="F450" s="195"/>
    </row>
    <row r="451" spans="1:6" x14ac:dyDescent="0.25">
      <c r="A451" s="115">
        <v>1</v>
      </c>
      <c r="B451" s="189" t="str">
        <f ca="1">IF(INDIRECT("'SGO #2(Tiered or Simple)'!B333")=0, " ",INDIRECT("'SGO #2(Tiered or Simple)'!B333"))</f>
        <v xml:space="preserve"> </v>
      </c>
      <c r="C451" s="189"/>
      <c r="D451" s="115">
        <v>46</v>
      </c>
      <c r="E451" s="187" t="str">
        <f ca="1">IF(INDIRECT("'SGO #2(Tiered or Simple)'!B378")=0, " ",INDIRECT("'SGO #2(Tiered or Simple)'!B378"))</f>
        <v xml:space="preserve"> </v>
      </c>
      <c r="F451" s="187"/>
    </row>
    <row r="452" spans="1:6" x14ac:dyDescent="0.25">
      <c r="A452" s="115">
        <v>2</v>
      </c>
      <c r="B452" s="189" t="str">
        <f ca="1">IF(INDIRECT("'SGO #2(Tiered or Simple)'!B334")=0, " ",INDIRECT("'SGO #2(Tiered or Simple)'!B334"))</f>
        <v xml:space="preserve"> </v>
      </c>
      <c r="C452" s="189"/>
      <c r="D452" s="115">
        <v>47</v>
      </c>
      <c r="E452" s="187" t="str">
        <f ca="1">IF(INDIRECT("'SGO #2(Tiered or Simple)'!B379")=0, " ",INDIRECT("'SGO #2(Tiered or Simple)'!B379"))</f>
        <v xml:space="preserve"> </v>
      </c>
      <c r="F452" s="187"/>
    </row>
    <row r="453" spans="1:6" x14ac:dyDescent="0.25">
      <c r="A453" s="115">
        <v>3</v>
      </c>
      <c r="B453" s="189" t="str">
        <f ca="1">IF(INDIRECT("'SGO #2(Tiered or Simple)'!B335")=0, " ",INDIRECT("'SGO #2(Tiered or Simple)'!B335"))</f>
        <v xml:space="preserve"> </v>
      </c>
      <c r="C453" s="189"/>
      <c r="D453" s="115">
        <v>48</v>
      </c>
      <c r="E453" s="187" t="str">
        <f ca="1">IF(INDIRECT("'SGO #2(Tiered or Simple)'!B380")=0, " ",INDIRECT("'SGO #2(Tiered or Simple)'!B380"))</f>
        <v xml:space="preserve"> </v>
      </c>
      <c r="F453" s="187"/>
    </row>
    <row r="454" spans="1:6" x14ac:dyDescent="0.25">
      <c r="A454" s="115">
        <v>4</v>
      </c>
      <c r="B454" s="189" t="str">
        <f ca="1">IF(INDIRECT("'SGO #2(Tiered or Simple)'!B336")=0, " ",INDIRECT("'SGO #2(Tiered or Simple)'!B336"))</f>
        <v xml:space="preserve"> </v>
      </c>
      <c r="C454" s="189"/>
      <c r="D454" s="115">
        <v>49</v>
      </c>
      <c r="E454" s="187" t="str">
        <f ca="1">IF(INDIRECT("'SGO #2(Tiered or Simple)'!B381")=0, " ",INDIRECT("'SGO #2(Tiered or Simple)'!B381"))</f>
        <v xml:space="preserve"> </v>
      </c>
      <c r="F454" s="187"/>
    </row>
    <row r="455" spans="1:6" x14ac:dyDescent="0.25">
      <c r="A455" s="115">
        <v>5</v>
      </c>
      <c r="B455" s="189" t="str">
        <f ca="1">IF(INDIRECT("'SGO #2(Tiered or Simple)'!B337")=0, " ",INDIRECT("'SGO #2(Tiered or Simple)'!B337"))</f>
        <v xml:space="preserve"> </v>
      </c>
      <c r="C455" s="189"/>
      <c r="D455" s="115">
        <v>50</v>
      </c>
      <c r="E455" s="187" t="str">
        <f ca="1">IF(INDIRECT("'SGO #2(Tiered or Simple)'!B382")=0, " ",INDIRECT("'SGO #2(Tiered or Simple)'!B382"))</f>
        <v xml:space="preserve"> </v>
      </c>
      <c r="F455" s="187"/>
    </row>
    <row r="456" spans="1:6" x14ac:dyDescent="0.25">
      <c r="A456" s="115">
        <v>6</v>
      </c>
      <c r="B456" s="189" t="str">
        <f ca="1">IF(INDIRECT("'SGO #2(Tiered or Simple)'!B338")=0, " ",INDIRECT("'SGO #2(Tiered or Simple)'!B338"))</f>
        <v xml:space="preserve"> </v>
      </c>
      <c r="C456" s="189"/>
      <c r="D456" s="115">
        <v>51</v>
      </c>
      <c r="E456" s="187" t="str">
        <f ca="1">IF(INDIRECT("'SGO #2(Tiered or Simple)'!B383")=0, " ",INDIRECT("'SGO #2(Tiered or Simple)'!B383"))</f>
        <v xml:space="preserve"> </v>
      </c>
      <c r="F456" s="187"/>
    </row>
    <row r="457" spans="1:6" x14ac:dyDescent="0.25">
      <c r="A457" s="115">
        <v>7</v>
      </c>
      <c r="B457" s="189" t="str">
        <f ca="1">IF(INDIRECT("'SGO #2(Tiered or Simple)'!B339")=0, " ",INDIRECT("'SGO #2(Tiered or Simple)'!B339"))</f>
        <v xml:space="preserve"> </v>
      </c>
      <c r="C457" s="189"/>
      <c r="D457" s="115">
        <v>52</v>
      </c>
      <c r="E457" s="187" t="str">
        <f ca="1">IF(INDIRECT("'SGO #2(Tiered or Simple)'!B384")=0, " ",INDIRECT("'SGO #2(Tiered or Simple)'!B384"))</f>
        <v xml:space="preserve"> </v>
      </c>
      <c r="F457" s="187"/>
    </row>
    <row r="458" spans="1:6" x14ac:dyDescent="0.25">
      <c r="A458" s="115">
        <v>8</v>
      </c>
      <c r="B458" s="189" t="str">
        <f ca="1">IF(INDIRECT("'SGO #2(Tiered or Simple)'!B340")=0, " ",INDIRECT("'SGO #2(Tiered or Simple)'!B340"))</f>
        <v xml:space="preserve"> </v>
      </c>
      <c r="C458" s="189"/>
      <c r="D458" s="115">
        <v>53</v>
      </c>
      <c r="E458" s="187" t="str">
        <f ca="1">IF(INDIRECT("'SGO #2(Tiered or Simple)'!B385")=0, " ",INDIRECT("'SGO #2(Tiered or Simple)'!B385"))</f>
        <v xml:space="preserve"> </v>
      </c>
      <c r="F458" s="187"/>
    </row>
    <row r="459" spans="1:6" x14ac:dyDescent="0.25">
      <c r="A459" s="115">
        <v>9</v>
      </c>
      <c r="B459" s="189" t="str">
        <f ca="1">IF(INDIRECT("'SGO #2(Tiered or Simple)'!B341")=0, " ",INDIRECT("'SGO #2(Tiered or Simple)'!B341"))</f>
        <v xml:space="preserve"> </v>
      </c>
      <c r="C459" s="189"/>
      <c r="D459" s="115">
        <v>54</v>
      </c>
      <c r="E459" s="187" t="str">
        <f ca="1">IF(INDIRECT("'SGO #2(Tiered or Simple)'!B386")=0, " ",INDIRECT("'SGO #2(Tiered or Simple)'!B386"))</f>
        <v xml:space="preserve"> </v>
      </c>
      <c r="F459" s="187"/>
    </row>
    <row r="460" spans="1:6" x14ac:dyDescent="0.25">
      <c r="A460" s="115">
        <v>10</v>
      </c>
      <c r="B460" s="189" t="str">
        <f ca="1">IF(INDIRECT("'SGO #2(Tiered or Simple)'!B342")=0, " ",INDIRECT("'SGO #2(Tiered or Simple)'!B342"))</f>
        <v xml:space="preserve"> </v>
      </c>
      <c r="C460" s="189"/>
      <c r="D460" s="115">
        <v>55</v>
      </c>
      <c r="E460" s="187" t="str">
        <f ca="1">IF(INDIRECT("'SGO #2(Tiered or Simple)'!B387")=0, " ",INDIRECT("'SGO #2(Tiered or Simple)'!B387"))</f>
        <v xml:space="preserve"> </v>
      </c>
      <c r="F460" s="187"/>
    </row>
    <row r="461" spans="1:6" x14ac:dyDescent="0.25">
      <c r="A461" s="115">
        <v>11</v>
      </c>
      <c r="B461" s="189" t="str">
        <f ca="1">IF(INDIRECT("'SGO #2(Tiered or Simple)'!B343")=0, " ",INDIRECT("'SGO #2(Tiered or Simple)'!B343"))</f>
        <v xml:space="preserve"> </v>
      </c>
      <c r="C461" s="189"/>
      <c r="D461" s="115">
        <v>56</v>
      </c>
      <c r="E461" s="187" t="str">
        <f ca="1">IF(INDIRECT("'SGO #2(Tiered or Simple)'!B388")=0, " ",INDIRECT("'SGO #2(Tiered or Simple)'!B388"))</f>
        <v xml:space="preserve"> </v>
      </c>
      <c r="F461" s="187"/>
    </row>
    <row r="462" spans="1:6" x14ac:dyDescent="0.25">
      <c r="A462" s="115">
        <v>12</v>
      </c>
      <c r="B462" s="189" t="str">
        <f ca="1">IF(INDIRECT("'SGO #2(Tiered or Simple)'!B344")=0, " ",INDIRECT("'SGO #2(Tiered or Simple)'!B344"))</f>
        <v xml:space="preserve"> </v>
      </c>
      <c r="C462" s="189"/>
      <c r="D462" s="115">
        <v>57</v>
      </c>
      <c r="E462" s="187" t="str">
        <f ca="1">IF(INDIRECT("'SGO #2(Tiered or Simple)'!B389")=0, " ",INDIRECT("'SGO #2(Tiered or Simple)'!B389"))</f>
        <v xml:space="preserve"> </v>
      </c>
      <c r="F462" s="187"/>
    </row>
    <row r="463" spans="1:6" x14ac:dyDescent="0.25">
      <c r="A463" s="115">
        <v>13</v>
      </c>
      <c r="B463" s="189" t="str">
        <f ca="1">IF(INDIRECT("'SGO #2(Tiered or Simple)'!B345")=0, " ",INDIRECT("'SGO #2(Tiered or Simple)'!B345"))</f>
        <v xml:space="preserve"> </v>
      </c>
      <c r="C463" s="189"/>
      <c r="D463" s="115">
        <v>58</v>
      </c>
      <c r="E463" s="187" t="str">
        <f ca="1">IF(INDIRECT("'SGO #2(Tiered or Simple)'!B390")=0, " ",INDIRECT("'SGO #2(Tiered or Simple)'!B390"))</f>
        <v xml:space="preserve"> </v>
      </c>
      <c r="F463" s="187"/>
    </row>
    <row r="464" spans="1:6" x14ac:dyDescent="0.25">
      <c r="A464" s="115">
        <v>14</v>
      </c>
      <c r="B464" s="189" t="str">
        <f ca="1">IF(INDIRECT("'SGO #2(Tiered or Simple)'!B346")=0, " ",INDIRECT("'SGO #2(Tiered or Simple)'!B346"))</f>
        <v xml:space="preserve"> </v>
      </c>
      <c r="C464" s="189"/>
      <c r="D464" s="115">
        <v>59</v>
      </c>
      <c r="E464" s="187" t="str">
        <f ca="1">IF(INDIRECT("'SGO #2(Tiered or Simple)'!B391")=0, " ",INDIRECT("'SGO #2(Tiered or Simple)'!B391"))</f>
        <v xml:space="preserve"> </v>
      </c>
      <c r="F464" s="187"/>
    </row>
    <row r="465" spans="1:6" x14ac:dyDescent="0.25">
      <c r="A465" s="115">
        <v>15</v>
      </c>
      <c r="B465" s="189" t="str">
        <f ca="1">IF(INDIRECT("'SGO #2(Tiered or Simple)'!B347")=0, " ",INDIRECT("'SGO #2(Tiered or Simple)'!B347"))</f>
        <v xml:space="preserve"> </v>
      </c>
      <c r="C465" s="189"/>
      <c r="D465" s="115">
        <v>60</v>
      </c>
      <c r="E465" s="187" t="str">
        <f ca="1">IF(INDIRECT("'SGO #2(Tiered or Simple)'!B392")=0, " ",INDIRECT("'SGO #2(Tiered or Simple)'!B392"))</f>
        <v xml:space="preserve"> </v>
      </c>
      <c r="F465" s="187"/>
    </row>
    <row r="466" spans="1:6" x14ac:dyDescent="0.25">
      <c r="A466" s="115">
        <v>16</v>
      </c>
      <c r="B466" s="189" t="str">
        <f ca="1">IF(INDIRECT("'SGO #2(Tiered or Simple)'!B348")=0, " ",INDIRECT("'SGO #2(Tiered or Simple)'!B348"))</f>
        <v xml:space="preserve"> </v>
      </c>
      <c r="C466" s="189"/>
      <c r="D466" s="115">
        <v>61</v>
      </c>
      <c r="E466" s="187" t="str">
        <f ca="1">IF(INDIRECT("'SGO #2(Tiered or Simple)'!B393")=0, " ",INDIRECT("'SGO #2(Tiered or Simple)'!B393"))</f>
        <v xml:space="preserve"> </v>
      </c>
      <c r="F466" s="187"/>
    </row>
    <row r="467" spans="1:6" x14ac:dyDescent="0.25">
      <c r="A467" s="115">
        <v>17</v>
      </c>
      <c r="B467" s="189" t="str">
        <f ca="1">IF(INDIRECT("'SGO #2(Tiered or Simple)'!B349")=0, " ",INDIRECT("'SGO #2(Tiered or Simple)'!B349"))</f>
        <v xml:space="preserve"> </v>
      </c>
      <c r="C467" s="189"/>
      <c r="D467" s="115">
        <v>62</v>
      </c>
      <c r="E467" s="187" t="str">
        <f ca="1">IF(INDIRECT("'SGO #2(Tiered or Simple)'!B394")=0, " ",INDIRECT("'SGO #2(Tiered or Simple)'!B394"))</f>
        <v xml:space="preserve"> </v>
      </c>
      <c r="F467" s="187"/>
    </row>
    <row r="468" spans="1:6" x14ac:dyDescent="0.25">
      <c r="A468" s="115">
        <v>18</v>
      </c>
      <c r="B468" s="189" t="str">
        <f ca="1">IF(INDIRECT("'SGO #2(Tiered or Simple)'!B350")=0, " ",INDIRECT("'SGO #2(Tiered or Simple)'!B350"))</f>
        <v xml:space="preserve"> </v>
      </c>
      <c r="C468" s="189"/>
      <c r="D468" s="115">
        <v>63</v>
      </c>
      <c r="E468" s="187" t="str">
        <f ca="1">IF(INDIRECT("'SGO #2(Tiered or Simple)'!B395")=0, " ",INDIRECT("'SGO #2(Tiered or Simple)'!B395"))</f>
        <v xml:space="preserve"> </v>
      </c>
      <c r="F468" s="187"/>
    </row>
    <row r="469" spans="1:6" x14ac:dyDescent="0.25">
      <c r="A469" s="115">
        <v>19</v>
      </c>
      <c r="B469" s="189" t="str">
        <f ca="1">IF(INDIRECT("'SGO #2(Tiered or Simple)'!B351")=0, " ",INDIRECT("'SGO #2(Tiered or Simple)'!B351"))</f>
        <v xml:space="preserve"> </v>
      </c>
      <c r="C469" s="189"/>
      <c r="D469" s="115">
        <v>64</v>
      </c>
      <c r="E469" s="187" t="str">
        <f ca="1">IF(INDIRECT("'SGO #2(Tiered or Simple)'!B396")=0, " ",INDIRECT("'SGO #2(Tiered or Simple)'!B396"))</f>
        <v xml:space="preserve"> </v>
      </c>
      <c r="F469" s="187"/>
    </row>
    <row r="470" spans="1:6" x14ac:dyDescent="0.25">
      <c r="A470" s="115">
        <v>20</v>
      </c>
      <c r="B470" s="189" t="str">
        <f ca="1">IF(INDIRECT("'SGO #2(Tiered or Simple)'!B352")=0, " ",INDIRECT("'SGO #2(Tiered or Simple)'!B352"))</f>
        <v xml:space="preserve"> </v>
      </c>
      <c r="C470" s="189"/>
      <c r="D470" s="115">
        <v>65</v>
      </c>
      <c r="E470" s="187" t="str">
        <f ca="1">IF(INDIRECT("'SGO #2(Tiered or Simple)'!B397")=0, " ",INDIRECT("'SGO #2(Tiered or Simple)'!B397"))</f>
        <v xml:space="preserve"> </v>
      </c>
      <c r="F470" s="187"/>
    </row>
    <row r="471" spans="1:6" x14ac:dyDescent="0.25">
      <c r="A471" s="115">
        <v>21</v>
      </c>
      <c r="B471" s="189" t="str">
        <f ca="1">IF(INDIRECT("'SGO #2(Tiered or Simple)'!B353")=0, " ",INDIRECT("'SGO #2(Tiered or Simple)'!B353"))</f>
        <v xml:space="preserve"> </v>
      </c>
      <c r="C471" s="189"/>
      <c r="D471" s="115">
        <v>66</v>
      </c>
      <c r="E471" s="187" t="str">
        <f ca="1">IF(INDIRECT("'SGO #2(Tiered or Simple)'!B398")=0, " ",INDIRECT("'SGO #2(Tiered or Simple)'!B398"))</f>
        <v xml:space="preserve"> </v>
      </c>
      <c r="F471" s="187"/>
    </row>
    <row r="472" spans="1:6" x14ac:dyDescent="0.25">
      <c r="A472" s="115">
        <v>22</v>
      </c>
      <c r="B472" s="189" t="str">
        <f ca="1">IF(INDIRECT("'SGO #2(Tiered or Simple)'!B354")=0, " ",INDIRECT("'SGO #2(Tiered or Simple)'!B354"))</f>
        <v xml:space="preserve"> </v>
      </c>
      <c r="C472" s="189"/>
      <c r="D472" s="115">
        <v>67</v>
      </c>
      <c r="E472" s="187" t="str">
        <f ca="1">IF(INDIRECT("'SGO #2(Tiered or Simple)'!B399")=0, " ",INDIRECT("'SGO #2(Tiered or Simple)'!B399"))</f>
        <v xml:space="preserve"> </v>
      </c>
      <c r="F472" s="187"/>
    </row>
    <row r="473" spans="1:6" x14ac:dyDescent="0.25">
      <c r="A473" s="115">
        <v>23</v>
      </c>
      <c r="B473" s="189" t="str">
        <f ca="1">IF(INDIRECT("'SGO #2(Tiered or Simple)'!B355")=0, " ",INDIRECT("'SGO #2(Tiered or Simple)'!B355"))</f>
        <v xml:space="preserve"> </v>
      </c>
      <c r="C473" s="189"/>
      <c r="D473" s="115">
        <v>68</v>
      </c>
      <c r="E473" s="187" t="str">
        <f ca="1">IF(INDIRECT("'SGO #2(Tiered or Simple)'!B400")=0, " ",INDIRECT("'SGO #2(Tiered or Simple)'!B400"))</f>
        <v xml:space="preserve"> </v>
      </c>
      <c r="F473" s="187"/>
    </row>
    <row r="474" spans="1:6" x14ac:dyDescent="0.25">
      <c r="A474" s="115">
        <v>24</v>
      </c>
      <c r="B474" s="189" t="str">
        <f ca="1">IF(INDIRECT("'SGO #2(Tiered or Simple)'!B356")=0, " ",INDIRECT("'SGO #2(Tiered or Simple)'!B356"))</f>
        <v xml:space="preserve"> </v>
      </c>
      <c r="C474" s="189"/>
      <c r="D474" s="115">
        <v>69</v>
      </c>
      <c r="E474" s="187" t="str">
        <f ca="1">IF(INDIRECT("'SGO #2(Tiered or Simple)'!B401")=0, " ",INDIRECT("'SGO #2(Tiered or Simple)'!B401"))</f>
        <v xml:space="preserve"> </v>
      </c>
      <c r="F474" s="187"/>
    </row>
    <row r="475" spans="1:6" x14ac:dyDescent="0.25">
      <c r="A475" s="115">
        <v>25</v>
      </c>
      <c r="B475" s="189" t="str">
        <f ca="1">IF(INDIRECT("'SGO #2(Tiered or Simple)'!B357")=0, " ",INDIRECT("'SGO #2(Tiered or Simple)'!B357"))</f>
        <v xml:space="preserve"> </v>
      </c>
      <c r="C475" s="189"/>
      <c r="D475" s="115">
        <v>70</v>
      </c>
      <c r="E475" s="187" t="str">
        <f ca="1">IF(INDIRECT("'SGO #2(Tiered or Simple)'!B402")=0, " ",INDIRECT("'SGO #2(Tiered or Simple)'!B402"))</f>
        <v xml:space="preserve"> </v>
      </c>
      <c r="F475" s="187"/>
    </row>
    <row r="476" spans="1:6" x14ac:dyDescent="0.25">
      <c r="A476" s="115">
        <v>26</v>
      </c>
      <c r="B476" s="189" t="str">
        <f ca="1">IF(INDIRECT("'SGO #2(Tiered or Simple)'!B358")=0, " ",INDIRECT("'SGO #2(Tiered or Simple)'!B358"))</f>
        <v xml:space="preserve"> </v>
      </c>
      <c r="C476" s="189"/>
      <c r="D476" s="115">
        <v>71</v>
      </c>
      <c r="E476" s="187" t="str">
        <f ca="1">IF(INDIRECT("'SGO #2(Tiered or Simple)'!B403")=0, " ",INDIRECT("'SGO #2(Tiered or Simple)'!B403"))</f>
        <v xml:space="preserve"> </v>
      </c>
      <c r="F476" s="187"/>
    </row>
    <row r="477" spans="1:6" x14ac:dyDescent="0.25">
      <c r="A477" s="115">
        <v>27</v>
      </c>
      <c r="B477" s="189" t="str">
        <f ca="1">IF(INDIRECT("'SGO #2(Tiered or Simple)'!B359")=0, " ",INDIRECT("'SGO #2(Tiered or Simple)'!B359"))</f>
        <v xml:space="preserve"> </v>
      </c>
      <c r="C477" s="189"/>
      <c r="D477" s="115">
        <v>72</v>
      </c>
      <c r="E477" s="187" t="str">
        <f ca="1">IF(INDIRECT("'SGO #2(Tiered or Simple)'!B404")=0, " ",INDIRECT("'SGO #2(Tiered or Simple)'!B404"))</f>
        <v xml:space="preserve"> </v>
      </c>
      <c r="F477" s="187"/>
    </row>
    <row r="478" spans="1:6" x14ac:dyDescent="0.25">
      <c r="A478" s="115">
        <v>28</v>
      </c>
      <c r="B478" s="189" t="str">
        <f ca="1">IF(INDIRECT("'SGO #2(Tiered or Simple)'!B360")=0, " ",INDIRECT("'SGO #2(Tiered or Simple)'!B360"))</f>
        <v xml:space="preserve"> </v>
      </c>
      <c r="C478" s="189"/>
      <c r="D478" s="115">
        <v>73</v>
      </c>
      <c r="E478" s="187" t="str">
        <f ca="1">IF(INDIRECT("'SGO #2(Tiered or Simple)'!B405")=0, " ",INDIRECT("'SGO #2(Tiered or Simple)'!B405"))</f>
        <v xml:space="preserve"> </v>
      </c>
      <c r="F478" s="187"/>
    </row>
    <row r="479" spans="1:6" x14ac:dyDescent="0.25">
      <c r="A479" s="115">
        <v>29</v>
      </c>
      <c r="B479" s="189" t="str">
        <f ca="1">IF(INDIRECT("'SGO #2(Tiered or Simple)'!B361")=0, " ",INDIRECT("'SGO #2(Tiered or Simple)'!B361"))</f>
        <v xml:space="preserve"> </v>
      </c>
      <c r="C479" s="189"/>
      <c r="D479" s="115">
        <v>74</v>
      </c>
      <c r="E479" s="187" t="str">
        <f ca="1">IF(INDIRECT("'SGO #2(Tiered or Simple)'!B406")=0, " ",INDIRECT("'SGO #2(Tiered or Simple)'!B406"))</f>
        <v xml:space="preserve"> </v>
      </c>
      <c r="F479" s="187"/>
    </row>
    <row r="480" spans="1:6" x14ac:dyDescent="0.25">
      <c r="A480" s="115">
        <v>30</v>
      </c>
      <c r="B480" s="189" t="str">
        <f ca="1">IF(INDIRECT("'SGO #2(Tiered or Simple)'!B362")=0, " ",INDIRECT("'SGO #2(Tiered or Simple)'!B362"))</f>
        <v xml:space="preserve"> </v>
      </c>
      <c r="C480" s="189"/>
      <c r="D480" s="115">
        <v>75</v>
      </c>
      <c r="E480" s="187" t="str">
        <f ca="1">IF(INDIRECT("'SGO #2(Tiered or Simple)'!B407")=0, " ",INDIRECT("'SGO #2(Tiered or Simple)'!B407"))</f>
        <v xml:space="preserve"> </v>
      </c>
      <c r="F480" s="187"/>
    </row>
    <row r="481" spans="1:6" x14ac:dyDescent="0.25">
      <c r="A481" s="115">
        <v>31</v>
      </c>
      <c r="B481" s="189" t="str">
        <f ca="1">IF(INDIRECT("'SGO #2(Tiered or Simple)'!B363")=0, " ",INDIRECT("'SGO #2(Tiered or Simple)'!B363"))</f>
        <v xml:space="preserve"> </v>
      </c>
      <c r="C481" s="189"/>
      <c r="D481" s="115">
        <v>76</v>
      </c>
      <c r="E481" s="187" t="str">
        <f ca="1">IF(INDIRECT("'SGO #2(Tiered or Simple)'!B408")=0, " ",INDIRECT("'SGO #2(Tiered or Simple)'!B408"))</f>
        <v xml:space="preserve"> </v>
      </c>
      <c r="F481" s="187"/>
    </row>
    <row r="482" spans="1:6" x14ac:dyDescent="0.25">
      <c r="A482" s="115">
        <v>32</v>
      </c>
      <c r="B482" s="189" t="str">
        <f ca="1">IF(INDIRECT("'SGO #2(Tiered or Simple)'!B364")=0, " ",INDIRECT("'SGO #2(Tiered or Simple)'!B364"))</f>
        <v xml:space="preserve"> </v>
      </c>
      <c r="C482" s="189"/>
      <c r="D482" s="115">
        <v>77</v>
      </c>
      <c r="E482" s="187" t="str">
        <f ca="1">IF(INDIRECT("'SGO #2(Tiered or Simple)'!B409")=0, " ",INDIRECT("'SGO #2(Tiered or Simple)'!B409"))</f>
        <v xml:space="preserve"> </v>
      </c>
      <c r="F482" s="187"/>
    </row>
    <row r="483" spans="1:6" x14ac:dyDescent="0.25">
      <c r="A483" s="115">
        <v>33</v>
      </c>
      <c r="B483" s="189" t="str">
        <f ca="1">IF(INDIRECT("'SGO #2(Tiered or Simple)'!B365")=0, " ",INDIRECT("'SGO #2(Tiered or Simple)'!B365"))</f>
        <v xml:space="preserve"> </v>
      </c>
      <c r="C483" s="189"/>
      <c r="D483" s="115">
        <v>78</v>
      </c>
      <c r="E483" s="187" t="str">
        <f ca="1">IF(INDIRECT("'SGO #2(Tiered or Simple)'!B410")=0, " ",INDIRECT("'SGO #2(Tiered or Simple)'!B410"))</f>
        <v xml:space="preserve"> </v>
      </c>
      <c r="F483" s="187"/>
    </row>
    <row r="484" spans="1:6" x14ac:dyDescent="0.25">
      <c r="A484" s="115">
        <v>34</v>
      </c>
      <c r="B484" s="189" t="str">
        <f ca="1">IF(INDIRECT("'SGO #2(Tiered or Simple)'!B366")=0, " ",INDIRECT("'SGO #2(Tiered or Simple)'!B366"))</f>
        <v xml:space="preserve"> </v>
      </c>
      <c r="C484" s="189"/>
      <c r="D484" s="115">
        <v>79</v>
      </c>
      <c r="E484" s="187" t="str">
        <f ca="1">IF(INDIRECT("'SGO #2(Tiered or Simple)'!B411")=0, " ",INDIRECT("'SGO #2(Tiered or Simple)'!B411"))</f>
        <v xml:space="preserve"> </v>
      </c>
      <c r="F484" s="187"/>
    </row>
    <row r="485" spans="1:6" x14ac:dyDescent="0.25">
      <c r="A485" s="115">
        <v>35</v>
      </c>
      <c r="B485" s="189" t="str">
        <f ca="1">IF(INDIRECT("'SGO #2(Tiered or Simple)'!B367")=0, " ",INDIRECT("'SGO #2(Tiered or Simple)'!B367"))</f>
        <v xml:space="preserve"> </v>
      </c>
      <c r="C485" s="189"/>
      <c r="D485" s="115">
        <v>80</v>
      </c>
      <c r="E485" s="187" t="str">
        <f ca="1">IF(INDIRECT("'SGO #2(Tiered or Simple)'!B412")=0, " ",INDIRECT("'SGO #2(Tiered or Simple)'!B412"))</f>
        <v xml:space="preserve"> </v>
      </c>
      <c r="F485" s="187"/>
    </row>
    <row r="486" spans="1:6" x14ac:dyDescent="0.25">
      <c r="A486" s="115">
        <v>36</v>
      </c>
      <c r="B486" s="189" t="str">
        <f ca="1">IF(INDIRECT("'SGO #2(Tiered or Simple)'!B368")=0, " ",INDIRECT("'SGO #2(Tiered or Simple)'!B368"))</f>
        <v xml:space="preserve"> </v>
      </c>
      <c r="C486" s="189"/>
      <c r="D486" s="115">
        <v>81</v>
      </c>
      <c r="E486" s="187" t="str">
        <f ca="1">IF(INDIRECT("'SGO #2(Tiered or Simple)'!B413")=0, " ",INDIRECT("'SGO #2(Tiered or Simple)'!B413"))</f>
        <v xml:space="preserve"> </v>
      </c>
      <c r="F486" s="187"/>
    </row>
    <row r="487" spans="1:6" x14ac:dyDescent="0.25">
      <c r="A487" s="115">
        <v>37</v>
      </c>
      <c r="B487" s="189" t="str">
        <f ca="1">IF(INDIRECT("'SGO #2(Tiered or Simple)'!B369")=0, " ",INDIRECT("'SGO #2(Tiered or Simple)'!B369"))</f>
        <v xml:space="preserve"> </v>
      </c>
      <c r="C487" s="189"/>
      <c r="D487" s="115">
        <v>82</v>
      </c>
      <c r="E487" s="187" t="str">
        <f ca="1">IF(INDIRECT("'SGO #2(Tiered or Simple)'!B414")=0, " ",INDIRECT("'SGO #2(Tiered or Simple)'!B414"))</f>
        <v xml:space="preserve"> </v>
      </c>
      <c r="F487" s="187"/>
    </row>
    <row r="488" spans="1:6" x14ac:dyDescent="0.25">
      <c r="A488" s="115">
        <v>38</v>
      </c>
      <c r="B488" s="189" t="str">
        <f ca="1">IF(INDIRECT("'SGO #2(Tiered or Simple)'!B370")=0, " ",INDIRECT("'SGO #2(Tiered or Simple)'!B370"))</f>
        <v xml:space="preserve"> </v>
      </c>
      <c r="C488" s="189"/>
      <c r="D488" s="115">
        <v>83</v>
      </c>
      <c r="E488" s="187" t="str">
        <f ca="1">IF(INDIRECT("'SGO #2(Tiered or Simple)'!B415")=0, " ",INDIRECT("'SGO #2(Tiered or Simple)'!B415"))</f>
        <v xml:space="preserve"> </v>
      </c>
      <c r="F488" s="187"/>
    </row>
    <row r="489" spans="1:6" x14ac:dyDescent="0.25">
      <c r="A489" s="115">
        <v>39</v>
      </c>
      <c r="B489" s="189" t="str">
        <f ca="1">IF(INDIRECT("'SGO #2(Tiered or Simple)'!B371")=0, " ",INDIRECT("'SGO #2(Tiered or Simple)'!B371"))</f>
        <v xml:space="preserve"> </v>
      </c>
      <c r="C489" s="189"/>
      <c r="D489" s="115">
        <v>84</v>
      </c>
      <c r="E489" s="187" t="str">
        <f ca="1">IF(INDIRECT("'SGO #2(Tiered or Simple)'!B416")=0, " ",INDIRECT("'SGO #2(Tiered or Simple)'!B416"))</f>
        <v xml:space="preserve"> </v>
      </c>
      <c r="F489" s="187"/>
    </row>
    <row r="490" spans="1:6" x14ac:dyDescent="0.25">
      <c r="A490" s="115">
        <v>40</v>
      </c>
      <c r="B490" s="189" t="str">
        <f ca="1">IF(INDIRECT("'SGO #2(Tiered or Simple)'!B372")=0, " ",INDIRECT("'SGO #2(Tiered or Simple)'!B372"))</f>
        <v xml:space="preserve"> </v>
      </c>
      <c r="C490" s="189"/>
      <c r="D490" s="115">
        <v>85</v>
      </c>
      <c r="E490" s="187" t="str">
        <f ca="1">IF(INDIRECT("'SGO #2(Tiered or Simple)'!B417")=0, " ",INDIRECT("'SGO #2(Tiered or Simple)'!B417"))</f>
        <v xml:space="preserve"> </v>
      </c>
      <c r="F490" s="187"/>
    </row>
    <row r="491" spans="1:6" x14ac:dyDescent="0.25">
      <c r="A491" s="115">
        <v>41</v>
      </c>
      <c r="B491" s="189" t="str">
        <f ca="1">IF(INDIRECT("'SGO #2(Tiered or Simple)'!B373")=0, " ",INDIRECT("'SGO #2(Tiered or Simple)'!B373"))</f>
        <v xml:space="preserve"> </v>
      </c>
      <c r="C491" s="189"/>
      <c r="D491" s="115">
        <v>86</v>
      </c>
      <c r="E491" s="187" t="str">
        <f ca="1">IF(INDIRECT("'SGO #2(Tiered or Simple)'!B418")=0, " ",INDIRECT("'SGO #2(Tiered or Simple)'!B418"))</f>
        <v xml:space="preserve"> </v>
      </c>
      <c r="F491" s="187"/>
    </row>
    <row r="492" spans="1:6" x14ac:dyDescent="0.25">
      <c r="A492" s="115">
        <v>42</v>
      </c>
      <c r="B492" s="189" t="str">
        <f ca="1">IF(INDIRECT("'SGO #2(Tiered or Simple)'!B374")=0, " ",INDIRECT("'SGO #2(Tiered or Simple)'!B374"))</f>
        <v xml:space="preserve"> </v>
      </c>
      <c r="C492" s="189"/>
      <c r="D492" s="115">
        <v>87</v>
      </c>
      <c r="E492" s="187" t="str">
        <f ca="1">IF(INDIRECT("'SGO #2(Tiered or Simple)'!B419")=0, " ",INDIRECT("'SGO #2(Tiered or Simple)'!B419"))</f>
        <v xml:space="preserve"> </v>
      </c>
      <c r="F492" s="187"/>
    </row>
    <row r="493" spans="1:6" x14ac:dyDescent="0.25">
      <c r="A493" s="115">
        <v>43</v>
      </c>
      <c r="B493" s="189" t="str">
        <f ca="1">IF(INDIRECT("'SGO #2(Tiered or Simple)'!B375")=0, " ",INDIRECT("'SGO #2(Tiered or Simple)'!B375"))</f>
        <v xml:space="preserve"> </v>
      </c>
      <c r="C493" s="189"/>
      <c r="D493" s="115">
        <v>88</v>
      </c>
      <c r="E493" s="187" t="str">
        <f ca="1">IF(INDIRECT("'SGO #2(Tiered or Simple)'!B420")=0, " ",INDIRECT("'SGO #2(Tiered or Simple)'!B420"))</f>
        <v xml:space="preserve"> </v>
      </c>
      <c r="F493" s="187"/>
    </row>
    <row r="494" spans="1:6" x14ac:dyDescent="0.25">
      <c r="A494" s="115">
        <v>44</v>
      </c>
      <c r="B494" s="189" t="str">
        <f ca="1">IF(INDIRECT("'SGO #2(Tiered or Simple)'!B376")=0, " ",INDIRECT("'SGO #2(Tiered or Simple)'!B376"))</f>
        <v xml:space="preserve"> </v>
      </c>
      <c r="C494" s="189"/>
      <c r="D494" s="115">
        <v>89</v>
      </c>
      <c r="E494" s="187" t="str">
        <f ca="1">IF(INDIRECT("'SGO #2(Tiered or Simple)'!B421")=0, " ",INDIRECT("'SGO #2(Tiered or Simple)'!B421"))</f>
        <v xml:space="preserve"> </v>
      </c>
      <c r="F494" s="187"/>
    </row>
    <row r="495" spans="1:6" x14ac:dyDescent="0.25">
      <c r="A495" s="115">
        <v>45</v>
      </c>
      <c r="B495" s="189" t="str">
        <f ca="1">IF(INDIRECT("'SGO #2(Tiered or Simple)'!B377")=0, " ",INDIRECT("'SGO #2(Tiered or Simple)'!B377"))</f>
        <v xml:space="preserve"> </v>
      </c>
      <c r="C495" s="189"/>
      <c r="D495" s="115">
        <v>90</v>
      </c>
      <c r="E495" s="187" t="str">
        <f ca="1">IF(INDIRECT("'SGO #2(Tiered or Simple)'!B422")=0, " ",INDIRECT("'SGO #2(Tiered or Simple)'!B422"))</f>
        <v xml:space="preserve"> </v>
      </c>
      <c r="F495" s="187"/>
    </row>
    <row r="496" spans="1:6" x14ac:dyDescent="0.25">
      <c r="A496" s="115">
        <v>91</v>
      </c>
      <c r="B496" s="189" t="str">
        <f ca="1">IF(INDIRECT("'SGO #2(Tiered or Simple)'!B423")=0, " ",INDIRECT("'SGO #2(Tiered or Simple)'!B423"))</f>
        <v xml:space="preserve"> </v>
      </c>
      <c r="C496" s="189"/>
      <c r="D496" s="115">
        <v>121</v>
      </c>
      <c r="E496" s="187" t="str">
        <f ca="1">IF(INDIRECT("'SGO #2(Tiered or Simple)'!B453")=0, " ",INDIRECT("'SGO #2(Tiered or Simple)'!B453"))</f>
        <v xml:space="preserve"> </v>
      </c>
      <c r="F496" s="187"/>
    </row>
    <row r="497" spans="1:6" x14ac:dyDescent="0.25">
      <c r="A497" s="115">
        <v>92</v>
      </c>
      <c r="B497" s="189" t="str">
        <f ca="1">IF(INDIRECT("'SGO #2(Tiered or Simple)'!B424")=0, " ",INDIRECT("'SGO #2(Tiered or Simple)'!B424"))</f>
        <v xml:space="preserve"> </v>
      </c>
      <c r="C497" s="189"/>
      <c r="D497" s="115">
        <v>122</v>
      </c>
      <c r="E497" s="187" t="str">
        <f ca="1">IF(INDIRECT("'SGO #2(Tiered or Simple)'!B454")=0, " ",INDIRECT("'SGO #2(Tiered or Simple)'!B454"))</f>
        <v xml:space="preserve"> </v>
      </c>
      <c r="F497" s="187"/>
    </row>
    <row r="498" spans="1:6" x14ac:dyDescent="0.25">
      <c r="A498" s="115">
        <v>93</v>
      </c>
      <c r="B498" s="189" t="str">
        <f ca="1">IF(INDIRECT("'SGO #2(Tiered or Simple)'!B425")=0, " ",INDIRECT("'SGO #2(Tiered or Simple)'!B425"))</f>
        <v xml:space="preserve"> </v>
      </c>
      <c r="C498" s="189"/>
      <c r="D498" s="115">
        <v>123</v>
      </c>
      <c r="E498" s="187" t="str">
        <f ca="1">IF(INDIRECT("'SGO #2(Tiered or Simple)'!B455")=0, " ",INDIRECT("'SGO #2(Tiered or Simple)'!B455"))</f>
        <v xml:space="preserve"> </v>
      </c>
      <c r="F498" s="187"/>
    </row>
    <row r="499" spans="1:6" x14ac:dyDescent="0.25">
      <c r="A499" s="115">
        <v>94</v>
      </c>
      <c r="B499" s="189" t="str">
        <f ca="1">IF(INDIRECT("'SGO #2(Tiered or Simple)'!B426")=0, " ",INDIRECT("'SGO #2(Tiered or Simple)'!B426"))</f>
        <v xml:space="preserve"> </v>
      </c>
      <c r="C499" s="189"/>
      <c r="D499" s="115">
        <v>124</v>
      </c>
      <c r="E499" s="187" t="str">
        <f ca="1">IF(INDIRECT("'SGO #2(Tiered or Simple)'!B456")=0, " ",INDIRECT("'SGO #2(Tiered or Simple)'!B456"))</f>
        <v xml:space="preserve"> </v>
      </c>
      <c r="F499" s="187"/>
    </row>
    <row r="500" spans="1:6" x14ac:dyDescent="0.25">
      <c r="A500" s="115">
        <v>95</v>
      </c>
      <c r="B500" s="189" t="str">
        <f ca="1">IF(INDIRECT("'SGO #2(Tiered or Simple)'!B427")=0, " ",INDIRECT("'SGO #2(Tiered or Simple)'!B427"))</f>
        <v xml:space="preserve"> </v>
      </c>
      <c r="C500" s="189"/>
      <c r="D500" s="115">
        <v>125</v>
      </c>
      <c r="E500" s="187" t="str">
        <f ca="1">IF(INDIRECT("'SGO #2(Tiered or Simple)'!B457")=0, " ",INDIRECT("'SGO #2(Tiered or Simple)'!B457"))</f>
        <v xml:space="preserve"> </v>
      </c>
      <c r="F500" s="187"/>
    </row>
    <row r="501" spans="1:6" x14ac:dyDescent="0.25">
      <c r="A501" s="115">
        <v>96</v>
      </c>
      <c r="B501" s="189" t="str">
        <f ca="1">IF(INDIRECT("'SGO #2(Tiered or Simple)'!B428")=0, " ",INDIRECT("'SGO #2(Tiered or Simple)'!B428"))</f>
        <v xml:space="preserve"> </v>
      </c>
      <c r="C501" s="189"/>
      <c r="D501" s="115">
        <v>126</v>
      </c>
      <c r="E501" s="187" t="str">
        <f ca="1">IF(INDIRECT("'SGO #2(Tiered or Simple)'!B458")=0, " ",INDIRECT("'SGO #2(Tiered or Simple)'!B458"))</f>
        <v xml:space="preserve"> </v>
      </c>
      <c r="F501" s="187"/>
    </row>
    <row r="502" spans="1:6" x14ac:dyDescent="0.25">
      <c r="A502" s="115">
        <v>97</v>
      </c>
      <c r="B502" s="189" t="str">
        <f ca="1">IF(INDIRECT("'SGO #2(Tiered or Simple)'!B429")=0, " ",INDIRECT("'SGO #2(Tiered or Simple)'!B429"))</f>
        <v xml:space="preserve"> </v>
      </c>
      <c r="C502" s="189"/>
      <c r="D502" s="115">
        <v>127</v>
      </c>
      <c r="E502" s="187" t="str">
        <f ca="1">IF(INDIRECT("'SGO #2(Tiered or Simple)'!B459")=0, " ",INDIRECT("'SGO #2(Tiered or Simple)'!B459"))</f>
        <v xml:space="preserve"> </v>
      </c>
      <c r="F502" s="187"/>
    </row>
    <row r="503" spans="1:6" x14ac:dyDescent="0.25">
      <c r="A503" s="115">
        <v>98</v>
      </c>
      <c r="B503" s="189" t="str">
        <f ca="1">IF(INDIRECT("'SGO #2(Tiered or Simple)'!B430")=0, " ",INDIRECT("'SGO #2(Tiered or Simple)'!B430"))</f>
        <v xml:space="preserve"> </v>
      </c>
      <c r="C503" s="189"/>
      <c r="D503" s="115">
        <v>128</v>
      </c>
      <c r="E503" s="187" t="str">
        <f ca="1">IF(INDIRECT("'SGO #2(Tiered or Simple)'!B460")=0, " ",INDIRECT("'SGO #2(Tiered or Simple)'!B460"))</f>
        <v xml:space="preserve"> </v>
      </c>
      <c r="F503" s="187"/>
    </row>
    <row r="504" spans="1:6" x14ac:dyDescent="0.25">
      <c r="A504" s="115">
        <v>99</v>
      </c>
      <c r="B504" s="189" t="str">
        <f ca="1">IF(INDIRECT("'SGO #2(Tiered or Simple)'!B431")=0, " ",INDIRECT("'SGO #2(Tiered or Simple)'!B431"))</f>
        <v xml:space="preserve"> </v>
      </c>
      <c r="C504" s="189"/>
      <c r="D504" s="115">
        <v>129</v>
      </c>
      <c r="E504" s="187" t="str">
        <f ca="1">IF(INDIRECT("'SGO #2(Tiered or Simple)'!B461")=0, " ",INDIRECT("'SGO #2(Tiered or Simple)'!B461"))</f>
        <v xml:space="preserve"> </v>
      </c>
      <c r="F504" s="187"/>
    </row>
    <row r="505" spans="1:6" x14ac:dyDescent="0.25">
      <c r="A505" s="115">
        <v>100</v>
      </c>
      <c r="B505" s="189" t="str">
        <f ca="1">IF(INDIRECT("'SGO #2(Tiered or Simple)'!B432")=0, " ",INDIRECT("'SGO #2(Tiered or Simple)'!B432"))</f>
        <v xml:space="preserve"> </v>
      </c>
      <c r="C505" s="189"/>
      <c r="D505" s="115">
        <v>130</v>
      </c>
      <c r="E505" s="187" t="str">
        <f ca="1">IF(INDIRECT("'SGO #2(Tiered or Simple)'!B462")=0, " ",INDIRECT("'SGO #2(Tiered or Simple)'!B462"))</f>
        <v xml:space="preserve"> </v>
      </c>
      <c r="F505" s="187"/>
    </row>
    <row r="506" spans="1:6" x14ac:dyDescent="0.25">
      <c r="A506" s="115">
        <v>101</v>
      </c>
      <c r="B506" s="189" t="str">
        <f ca="1">IF(INDIRECT("'SGO #2(Tiered or Simple)'!B433")=0, " ",INDIRECT("'SGO #2(Tiered or Simple)'!B433"))</f>
        <v xml:space="preserve"> </v>
      </c>
      <c r="C506" s="189"/>
      <c r="D506" s="115">
        <v>131</v>
      </c>
      <c r="E506" s="187" t="str">
        <f ca="1">IF(INDIRECT("'SGO #2(Tiered or Simple)'!B463")=0, " ",INDIRECT("'SGO #2(Tiered or Simple)'!B463"))</f>
        <v xml:space="preserve"> </v>
      </c>
      <c r="F506" s="187"/>
    </row>
    <row r="507" spans="1:6" x14ac:dyDescent="0.25">
      <c r="A507" s="115">
        <v>102</v>
      </c>
      <c r="B507" s="189" t="str">
        <f ca="1">IF(INDIRECT("'SGO #2(Tiered or Simple)'!B434")=0, " ",INDIRECT("'SGO #2(Tiered or Simple)'!B434"))</f>
        <v xml:space="preserve"> </v>
      </c>
      <c r="C507" s="189"/>
      <c r="D507" s="115">
        <v>132</v>
      </c>
      <c r="E507" s="187" t="str">
        <f ca="1">IF(INDIRECT("'SGO #2(Tiered or Simple)'!B464")=0, " ",INDIRECT("'SGO #2(Tiered or Simple)'!B464"))</f>
        <v xml:space="preserve"> </v>
      </c>
      <c r="F507" s="187"/>
    </row>
    <row r="508" spans="1:6" x14ac:dyDescent="0.25">
      <c r="A508" s="115">
        <v>103</v>
      </c>
      <c r="B508" s="189" t="str">
        <f ca="1">IF(INDIRECT("'SGO #2(Tiered or Simple)'!B435")=0, " ",INDIRECT("'SGO #2(Tiered or Simple)'!B435"))</f>
        <v xml:space="preserve"> </v>
      </c>
      <c r="C508" s="189"/>
      <c r="D508" s="115">
        <v>133</v>
      </c>
      <c r="E508" s="187" t="str">
        <f ca="1">IF(INDIRECT("'SGO #2(Tiered or Simple)'!B465")=0, " ",INDIRECT("'SGO #2(Tiered or Simple)'!B465"))</f>
        <v xml:space="preserve"> </v>
      </c>
      <c r="F508" s="187"/>
    </row>
    <row r="509" spans="1:6" x14ac:dyDescent="0.25">
      <c r="A509" s="115">
        <v>104</v>
      </c>
      <c r="B509" s="189" t="str">
        <f ca="1">IF(INDIRECT("'SGO #2(Tiered or Simple)'!B436")=0, " ",INDIRECT("'SGO #2(Tiered or Simple)'!B436"))</f>
        <v xml:space="preserve"> </v>
      </c>
      <c r="C509" s="189"/>
      <c r="D509" s="115">
        <v>134</v>
      </c>
      <c r="E509" s="187" t="str">
        <f ca="1">IF(INDIRECT("'SGO #2(Tiered or Simple)'!B466")=0, " ",INDIRECT("'SGO #2(Tiered or Simple)'!B466"))</f>
        <v xml:space="preserve"> </v>
      </c>
      <c r="F509" s="187"/>
    </row>
    <row r="510" spans="1:6" x14ac:dyDescent="0.25">
      <c r="A510" s="115">
        <v>105</v>
      </c>
      <c r="B510" s="189" t="str">
        <f ca="1">IF(INDIRECT("'SGO #2(Tiered or Simple)'!B437")=0, " ",INDIRECT("'SGO #2(Tiered or Simple)'!B437"))</f>
        <v xml:space="preserve"> </v>
      </c>
      <c r="C510" s="189"/>
      <c r="D510" s="115">
        <v>135</v>
      </c>
      <c r="E510" s="187" t="str">
        <f ca="1">IF(INDIRECT("'SGO #2(Tiered or Simple)'!B467")=0, " ",INDIRECT("'SGO #2(Tiered or Simple)'!B467"))</f>
        <v xml:space="preserve"> </v>
      </c>
      <c r="F510" s="187"/>
    </row>
    <row r="511" spans="1:6" x14ac:dyDescent="0.25">
      <c r="A511" s="115">
        <v>106</v>
      </c>
      <c r="B511" s="189" t="str">
        <f ca="1">IF(INDIRECT("'SGO #2(Tiered or Simple)'!B438")=0, " ",INDIRECT("'SGO #2(Tiered or Simple)'!B438"))</f>
        <v xml:space="preserve"> </v>
      </c>
      <c r="C511" s="189"/>
      <c r="D511" s="115">
        <v>136</v>
      </c>
      <c r="E511" s="187" t="str">
        <f ca="1">IF(INDIRECT("'SGO #2(Tiered or Simple)'!B468")=0, " ",INDIRECT("'SGO #2(Tiered or Simple)'!B468"))</f>
        <v xml:space="preserve"> </v>
      </c>
      <c r="F511" s="187"/>
    </row>
    <row r="512" spans="1:6" x14ac:dyDescent="0.25">
      <c r="A512" s="115">
        <v>107</v>
      </c>
      <c r="B512" s="189" t="str">
        <f ca="1">IF(INDIRECT("'SGO #2(Tiered or Simple)'!B439")=0, " ",INDIRECT("'SGO #2(Tiered or Simple)'!B439"))</f>
        <v xml:space="preserve"> </v>
      </c>
      <c r="C512" s="189"/>
      <c r="D512" s="115">
        <v>137</v>
      </c>
      <c r="E512" s="187" t="str">
        <f ca="1">IF(INDIRECT("'SGO #2(Tiered or Simple)'!B469")=0, " ",INDIRECT("'SGO #2(Tiered or Simple)'!B469"))</f>
        <v xml:space="preserve"> </v>
      </c>
      <c r="F512" s="187"/>
    </row>
    <row r="513" spans="1:6" x14ac:dyDescent="0.25">
      <c r="A513" s="115">
        <v>108</v>
      </c>
      <c r="B513" s="189" t="str">
        <f ca="1">IF(INDIRECT("'SGO #2(Tiered or Simple)'!B440")=0, " ",INDIRECT("'SGO #2(Tiered or Simple)'!B440"))</f>
        <v xml:space="preserve"> </v>
      </c>
      <c r="C513" s="189"/>
      <c r="D513" s="115">
        <v>138</v>
      </c>
      <c r="E513" s="187" t="str">
        <f ca="1">IF(INDIRECT("'SGO #2(Tiered or Simple)'!B470")=0, " ",INDIRECT("'SGO #2(Tiered or Simple)'!B470"))</f>
        <v xml:space="preserve"> </v>
      </c>
      <c r="F513" s="187"/>
    </row>
    <row r="514" spans="1:6" x14ac:dyDescent="0.25">
      <c r="A514" s="115">
        <v>109</v>
      </c>
      <c r="B514" s="189" t="str">
        <f ca="1">IF(INDIRECT("'SGO #2(Tiered or Simple)'!B441")=0, " ",INDIRECT("'SGO #2(Tiered or Simple)'!B441"))</f>
        <v xml:space="preserve"> </v>
      </c>
      <c r="C514" s="189"/>
      <c r="D514" s="115">
        <v>139</v>
      </c>
      <c r="E514" s="187" t="str">
        <f ca="1">IF(INDIRECT("'SGO #2(Tiered or Simple)'!B471")=0, " ",INDIRECT("'SGO #2(Tiered or Simple)'!B471"))</f>
        <v xml:space="preserve"> </v>
      </c>
      <c r="F514" s="187"/>
    </row>
    <row r="515" spans="1:6" x14ac:dyDescent="0.25">
      <c r="A515" s="115">
        <v>110</v>
      </c>
      <c r="B515" s="189" t="str">
        <f ca="1">IF(INDIRECT("'SGO #2(Tiered or Simple)'!B442")=0, " ",INDIRECT("'SGO #2(Tiered or Simple)'!B442"))</f>
        <v xml:space="preserve"> </v>
      </c>
      <c r="C515" s="189"/>
      <c r="D515" s="115">
        <v>140</v>
      </c>
      <c r="E515" s="187" t="str">
        <f ca="1">IF(INDIRECT("'SGO #2(Tiered or Simple)'!B472")=0, " ",INDIRECT("'SGO #2(Tiered or Simple)'!B472"))</f>
        <v xml:space="preserve"> </v>
      </c>
      <c r="F515" s="187"/>
    </row>
    <row r="516" spans="1:6" x14ac:dyDescent="0.25">
      <c r="A516" s="115">
        <v>111</v>
      </c>
      <c r="B516" s="189" t="str">
        <f ca="1">IF(INDIRECT("'SGO #2(Tiered or Simple)'!B443")=0, " ",INDIRECT("'SGO #2(Tiered or Simple)'!B443"))</f>
        <v xml:space="preserve"> </v>
      </c>
      <c r="C516" s="189"/>
      <c r="D516" s="115">
        <v>141</v>
      </c>
      <c r="E516" s="187" t="str">
        <f ca="1">IF(INDIRECT("'SGO #2(Tiered or Simple)'!B473")=0, " ",INDIRECT("'SGO #2(Tiered or Simple)'!B473"))</f>
        <v xml:space="preserve"> </v>
      </c>
      <c r="F516" s="187"/>
    </row>
    <row r="517" spans="1:6" x14ac:dyDescent="0.25">
      <c r="A517" s="115">
        <v>112</v>
      </c>
      <c r="B517" s="189" t="str">
        <f ca="1">IF(INDIRECT("'SGO #2(Tiered or Simple)'!B444")=0, " ",INDIRECT("'SGO #2(Tiered or Simple)'!B444"))</f>
        <v xml:space="preserve"> </v>
      </c>
      <c r="C517" s="189"/>
      <c r="D517" s="115">
        <v>142</v>
      </c>
      <c r="E517" s="187" t="str">
        <f ca="1">IF(INDIRECT("'SGO #2(Tiered or Simple)'!B474")=0, " ",INDIRECT("'SGO #2(Tiered or Simple)'!B474"))</f>
        <v xml:space="preserve"> </v>
      </c>
      <c r="F517" s="187"/>
    </row>
    <row r="518" spans="1:6" x14ac:dyDescent="0.25">
      <c r="A518" s="115">
        <v>113</v>
      </c>
      <c r="B518" s="189" t="str">
        <f ca="1">IF(INDIRECT("'SGO #2(Tiered or Simple)'!B445")=0, " ",INDIRECT("'SGO #2(Tiered or Simple)'!B445"))</f>
        <v xml:space="preserve"> </v>
      </c>
      <c r="C518" s="189"/>
      <c r="D518" s="115">
        <v>143</v>
      </c>
      <c r="E518" s="187" t="str">
        <f ca="1">IF(INDIRECT("'SGO #2(Tiered or Simple)'!B475")=0, " ",INDIRECT("'SGO #2(Tiered or Simple)'!B475"))</f>
        <v xml:space="preserve"> </v>
      </c>
      <c r="F518" s="187"/>
    </row>
    <row r="519" spans="1:6" x14ac:dyDescent="0.25">
      <c r="A519" s="115">
        <v>114</v>
      </c>
      <c r="B519" s="189" t="str">
        <f ca="1">IF(INDIRECT("'SGO #2(Tiered or Simple)'!B446")=0, " ",INDIRECT("'SGO #2(Tiered or Simple)'!B446"))</f>
        <v xml:space="preserve"> </v>
      </c>
      <c r="C519" s="189"/>
      <c r="D519" s="115">
        <v>144</v>
      </c>
      <c r="E519" s="187" t="str">
        <f ca="1">IF(INDIRECT("'SGO #2(Tiered or Simple)'!B476")=0, " ",INDIRECT("'SGO #2(Tiered or Simple)'!B476"))</f>
        <v xml:space="preserve"> </v>
      </c>
      <c r="F519" s="187"/>
    </row>
    <row r="520" spans="1:6" x14ac:dyDescent="0.25">
      <c r="A520" s="115">
        <v>115</v>
      </c>
      <c r="B520" s="189" t="str">
        <f ca="1">IF(INDIRECT("'SGO #2(Tiered or Simple)'!B447")=0, " ",INDIRECT("'SGO #2(Tiered or Simple)'!B447"))</f>
        <v xml:space="preserve"> </v>
      </c>
      <c r="C520" s="189"/>
      <c r="D520" s="115">
        <v>145</v>
      </c>
      <c r="E520" s="187" t="str">
        <f ca="1">IF(INDIRECT("'SGO #2(Tiered or Simple)'!B477")=0, " ",INDIRECT("'SGO #2(Tiered or Simple)'!B477"))</f>
        <v xml:space="preserve"> </v>
      </c>
      <c r="F520" s="187"/>
    </row>
    <row r="521" spans="1:6" x14ac:dyDescent="0.25">
      <c r="A521" s="115">
        <v>116</v>
      </c>
      <c r="B521" s="189" t="str">
        <f ca="1">IF(INDIRECT("'SGO #2(Tiered or Simple)'!B448")=0, " ",INDIRECT("'SGO #2(Tiered or Simple)'!B448"))</f>
        <v xml:space="preserve"> </v>
      </c>
      <c r="C521" s="189"/>
      <c r="D521" s="115">
        <v>146</v>
      </c>
      <c r="E521" s="187" t="str">
        <f ca="1">IF(INDIRECT("'SGO #2(Tiered or Simple)'!B478")=0, " ",INDIRECT("'SGO #2(Tiered or Simple)'!B478"))</f>
        <v xml:space="preserve"> </v>
      </c>
      <c r="F521" s="187"/>
    </row>
    <row r="522" spans="1:6" x14ac:dyDescent="0.25">
      <c r="A522" s="115">
        <v>117</v>
      </c>
      <c r="B522" s="189" t="str">
        <f ca="1">IF(INDIRECT("'SGO #2(Tiered or Simple)'!B449")=0, " ",INDIRECT("'SGO #2(Tiered or Simple)'!B449"))</f>
        <v xml:space="preserve"> </v>
      </c>
      <c r="C522" s="189"/>
      <c r="D522" s="115">
        <v>147</v>
      </c>
      <c r="E522" s="187" t="str">
        <f ca="1">IF(INDIRECT("'SGO #2(Tiered or Simple)'!B479")=0, " ",INDIRECT("'SGO #2(Tiered or Simple)'!B479"))</f>
        <v xml:space="preserve"> </v>
      </c>
      <c r="F522" s="187"/>
    </row>
    <row r="523" spans="1:6" x14ac:dyDescent="0.25">
      <c r="A523" s="115">
        <v>118</v>
      </c>
      <c r="B523" s="189" t="str">
        <f ca="1">IF(INDIRECT("'SGO #2(Tiered or Simple)'!B450")=0, " ",INDIRECT("'SGO #2(Tiered or Simple)'!B450"))</f>
        <v xml:space="preserve"> </v>
      </c>
      <c r="C523" s="189"/>
      <c r="D523" s="115">
        <v>148</v>
      </c>
      <c r="E523" s="187" t="str">
        <f ca="1">IF(INDIRECT("'SGO #2(Tiered or Simple)'!B480")=0, " ",INDIRECT("'SGO #2(Tiered or Simple)'!B480"))</f>
        <v xml:space="preserve"> </v>
      </c>
      <c r="F523" s="187"/>
    </row>
    <row r="524" spans="1:6" x14ac:dyDescent="0.25">
      <c r="A524" s="115">
        <v>119</v>
      </c>
      <c r="B524" s="189" t="str">
        <f ca="1">IF(INDIRECT("'SGO #2(Tiered or Simple)'!B451")=0, " ",INDIRECT("'SGO #2(Tiered or Simple)'!B451"))</f>
        <v xml:space="preserve"> </v>
      </c>
      <c r="C524" s="189"/>
      <c r="D524" s="115">
        <v>149</v>
      </c>
      <c r="E524" s="187" t="str">
        <f ca="1">IF(INDIRECT("'SGO #2(Tiered or Simple)'!B481")=0, " ",INDIRECT("'SGO #2(Tiered or Simple)'!B481"))</f>
        <v xml:space="preserve"> </v>
      </c>
      <c r="F524" s="187"/>
    </row>
    <row r="525" spans="1:6" x14ac:dyDescent="0.25">
      <c r="A525" s="115">
        <v>120</v>
      </c>
      <c r="B525" s="189" t="str">
        <f ca="1">IF(INDIRECT("'SGO #2(Tiered or Simple)'!B452")=0, " ",INDIRECT("'SGO #2(Tiered or Simple)'!B452"))</f>
        <v xml:space="preserve"> </v>
      </c>
      <c r="C525" s="189"/>
      <c r="D525" s="115">
        <v>150</v>
      </c>
      <c r="E525" s="187" t="str">
        <f ca="1">IF(INDIRECT("'SGO #2(Tiered or Simple)'!B482")=0, " ",INDIRECT("'SGO #2(Tiered or Simple)'!B482"))</f>
        <v xml:space="preserve"> </v>
      </c>
      <c r="F525" s="187"/>
    </row>
    <row r="526" spans="1:6" x14ac:dyDescent="0.25">
      <c r="A526" s="115"/>
      <c r="B526" s="189"/>
      <c r="C526" s="189"/>
      <c r="D526" s="115"/>
      <c r="E526" s="188"/>
      <c r="F526" s="188"/>
    </row>
  </sheetData>
  <sheetProtection password="CC4A" sheet="1" objects="1" scenarios="1" selectLockedCells="1" selectUnlockedCells="1"/>
  <mergeCells count="957">
    <mergeCell ref="B42:C42"/>
    <mergeCell ref="B526:C526"/>
    <mergeCell ref="E526:F526"/>
    <mergeCell ref="C16:F16"/>
    <mergeCell ref="A1:F1"/>
    <mergeCell ref="A2:F2"/>
    <mergeCell ref="C4:D4"/>
    <mergeCell ref="C5:D5"/>
    <mergeCell ref="E27:F27"/>
    <mergeCell ref="E28:F28"/>
    <mergeCell ref="B41:C41"/>
    <mergeCell ref="E29:F29"/>
    <mergeCell ref="E30:F30"/>
    <mergeCell ref="E31:F31"/>
    <mergeCell ref="E32:F32"/>
    <mergeCell ref="E33:F33"/>
    <mergeCell ref="E34:F34"/>
    <mergeCell ref="E35:F35"/>
    <mergeCell ref="E36:F36"/>
    <mergeCell ref="E37:F37"/>
    <mergeCell ref="E38:F38"/>
    <mergeCell ref="E39:F39"/>
    <mergeCell ref="E40:F40"/>
    <mergeCell ref="E41:F41"/>
    <mergeCell ref="E70:F70"/>
    <mergeCell ref="B70:C70"/>
    <mergeCell ref="B71:C71"/>
    <mergeCell ref="B72:C72"/>
    <mergeCell ref="B73:C73"/>
    <mergeCell ref="B27:C27"/>
    <mergeCell ref="B28:C28"/>
    <mergeCell ref="B68:C68"/>
    <mergeCell ref="B69:C69"/>
    <mergeCell ref="E71:F71"/>
    <mergeCell ref="E72:F72"/>
    <mergeCell ref="E73:F73"/>
    <mergeCell ref="B29:C29"/>
    <mergeCell ref="B30:C30"/>
    <mergeCell ref="B31:C31"/>
    <mergeCell ref="B32:C32"/>
    <mergeCell ref="B33:C33"/>
    <mergeCell ref="B34:C34"/>
    <mergeCell ref="B35:C35"/>
    <mergeCell ref="B36:C36"/>
    <mergeCell ref="B37:C37"/>
    <mergeCell ref="B38:C38"/>
    <mergeCell ref="B39:C39"/>
    <mergeCell ref="B40:C40"/>
    <mergeCell ref="E74:F74"/>
    <mergeCell ref="E75:F75"/>
    <mergeCell ref="E76:F76"/>
    <mergeCell ref="B76:C76"/>
    <mergeCell ref="B77:C77"/>
    <mergeCell ref="B78:C78"/>
    <mergeCell ref="B74:C74"/>
    <mergeCell ref="B75:C75"/>
    <mergeCell ref="B84:C84"/>
    <mergeCell ref="E84:F84"/>
    <mergeCell ref="E77:F77"/>
    <mergeCell ref="E78:F78"/>
    <mergeCell ref="E79:F79"/>
    <mergeCell ref="E80:F80"/>
    <mergeCell ref="B83:C83"/>
    <mergeCell ref="E83:F83"/>
    <mergeCell ref="B79:C79"/>
    <mergeCell ref="B80:C80"/>
    <mergeCell ref="B81:C81"/>
    <mergeCell ref="B82:C82"/>
    <mergeCell ref="E82:F82"/>
    <mergeCell ref="E81:F81"/>
    <mergeCell ref="B87:C87"/>
    <mergeCell ref="E87:F87"/>
    <mergeCell ref="B88:C88"/>
    <mergeCell ref="E88:F88"/>
    <mergeCell ref="B89:C89"/>
    <mergeCell ref="E89:F89"/>
    <mergeCell ref="B85:C85"/>
    <mergeCell ref="E85:F85"/>
    <mergeCell ref="B86:C86"/>
    <mergeCell ref="E86:F86"/>
    <mergeCell ref="B93:C93"/>
    <mergeCell ref="E93:F93"/>
    <mergeCell ref="B94:C94"/>
    <mergeCell ref="E94:F94"/>
    <mergeCell ref="B95:C95"/>
    <mergeCell ref="E95:F95"/>
    <mergeCell ref="B90:C90"/>
    <mergeCell ref="E90:F90"/>
    <mergeCell ref="B91:C91"/>
    <mergeCell ref="E91:F91"/>
    <mergeCell ref="B92:C92"/>
    <mergeCell ref="E92:F92"/>
    <mergeCell ref="E107:F107"/>
    <mergeCell ref="E108:F108"/>
    <mergeCell ref="E109:F109"/>
    <mergeCell ref="E110:F110"/>
    <mergeCell ref="B96:C96"/>
    <mergeCell ref="E96:F96"/>
    <mergeCell ref="B97:C97"/>
    <mergeCell ref="E97:F97"/>
    <mergeCell ref="B98:C98"/>
    <mergeCell ref="B99:C99"/>
    <mergeCell ref="B105:C105"/>
    <mergeCell ref="E105:F105"/>
    <mergeCell ref="E98:F98"/>
    <mergeCell ref="E99:F99"/>
    <mergeCell ref="E100:F100"/>
    <mergeCell ref="E101:F101"/>
    <mergeCell ref="E102:F102"/>
    <mergeCell ref="B100:C100"/>
    <mergeCell ref="B101:C101"/>
    <mergeCell ref="B102:C102"/>
    <mergeCell ref="B148:C148"/>
    <mergeCell ref="E148:F148"/>
    <mergeCell ref="B149:C149"/>
    <mergeCell ref="E149:F149"/>
    <mergeCell ref="B150:C150"/>
    <mergeCell ref="E150:F150"/>
    <mergeCell ref="B106:C106"/>
    <mergeCell ref="E106:F106"/>
    <mergeCell ref="B146:C146"/>
    <mergeCell ref="E146:F146"/>
    <mergeCell ref="B147:C147"/>
    <mergeCell ref="E147:F147"/>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54:C154"/>
    <mergeCell ref="E154:F154"/>
    <mergeCell ref="B155:C155"/>
    <mergeCell ref="E155:F155"/>
    <mergeCell ref="B156:C156"/>
    <mergeCell ref="E156:F156"/>
    <mergeCell ref="B151:C151"/>
    <mergeCell ref="E151:F151"/>
    <mergeCell ref="B152:C152"/>
    <mergeCell ref="E152:F152"/>
    <mergeCell ref="B153:C153"/>
    <mergeCell ref="E153:F153"/>
    <mergeCell ref="B157:C157"/>
    <mergeCell ref="E157:F157"/>
    <mergeCell ref="B158:C158"/>
    <mergeCell ref="E158:F158"/>
    <mergeCell ref="B161:C161"/>
    <mergeCell ref="E161:F161"/>
    <mergeCell ref="B159:C159"/>
    <mergeCell ref="B160:C160"/>
    <mergeCell ref="E159:F159"/>
    <mergeCell ref="E160:F160"/>
    <mergeCell ref="B165:C165"/>
    <mergeCell ref="E165:F165"/>
    <mergeCell ref="B166:C166"/>
    <mergeCell ref="E166:F166"/>
    <mergeCell ref="B167:C167"/>
    <mergeCell ref="E167:F167"/>
    <mergeCell ref="B162:C162"/>
    <mergeCell ref="E162:F162"/>
    <mergeCell ref="B163:C163"/>
    <mergeCell ref="E163:F163"/>
    <mergeCell ref="B164:C164"/>
    <mergeCell ref="E164:F164"/>
    <mergeCell ref="B171:C171"/>
    <mergeCell ref="E171:F171"/>
    <mergeCell ref="B172:C172"/>
    <mergeCell ref="E172:F172"/>
    <mergeCell ref="B173:C173"/>
    <mergeCell ref="E173:F173"/>
    <mergeCell ref="B168:C168"/>
    <mergeCell ref="E168:F168"/>
    <mergeCell ref="B169:C169"/>
    <mergeCell ref="E169:F169"/>
    <mergeCell ref="B170:C170"/>
    <mergeCell ref="E170:F170"/>
    <mergeCell ref="A180:F180"/>
    <mergeCell ref="A181:F181"/>
    <mergeCell ref="B177:C177"/>
    <mergeCell ref="E177:F177"/>
    <mergeCell ref="B178:C178"/>
    <mergeCell ref="E178:F178"/>
    <mergeCell ref="B179:C179"/>
    <mergeCell ref="E179:F179"/>
    <mergeCell ref="B174:C174"/>
    <mergeCell ref="E174:F174"/>
    <mergeCell ref="B175:C175"/>
    <mergeCell ref="E175:F175"/>
    <mergeCell ref="B176:C176"/>
    <mergeCell ref="E176:F176"/>
    <mergeCell ref="B187:C187"/>
    <mergeCell ref="B188:C188"/>
    <mergeCell ref="B189:C189"/>
    <mergeCell ref="B184:C184"/>
    <mergeCell ref="B185:C185"/>
    <mergeCell ref="B186:C186"/>
    <mergeCell ref="B182:C182"/>
    <mergeCell ref="E184:F184"/>
    <mergeCell ref="B183:C183"/>
    <mergeCell ref="E185:F185"/>
    <mergeCell ref="E190:F190"/>
    <mergeCell ref="E191:F191"/>
    <mergeCell ref="E192:F192"/>
    <mergeCell ref="E193:F193"/>
    <mergeCell ref="E194:F194"/>
    <mergeCell ref="E195:F195"/>
    <mergeCell ref="E221:F221"/>
    <mergeCell ref="E222:F222"/>
    <mergeCell ref="B193:C193"/>
    <mergeCell ref="B194:C194"/>
    <mergeCell ref="B195:C195"/>
    <mergeCell ref="B190:C190"/>
    <mergeCell ref="B191:C191"/>
    <mergeCell ref="B192:C192"/>
    <mergeCell ref="E203:F203"/>
    <mergeCell ref="E204:F204"/>
    <mergeCell ref="E205:F205"/>
    <mergeCell ref="E206:F206"/>
    <mergeCell ref="E207:F207"/>
    <mergeCell ref="E208:F208"/>
    <mergeCell ref="E209:F209"/>
    <mergeCell ref="E210:F210"/>
    <mergeCell ref="E211:F211"/>
    <mergeCell ref="E212:F212"/>
    <mergeCell ref="A7:F7"/>
    <mergeCell ref="A15:F15"/>
    <mergeCell ref="A25:F25"/>
    <mergeCell ref="A26:F26"/>
    <mergeCell ref="A103:F103"/>
    <mergeCell ref="A104:F104"/>
    <mergeCell ref="B235:C235"/>
    <mergeCell ref="B236:C236"/>
    <mergeCell ref="B231:C231"/>
    <mergeCell ref="B232:C232"/>
    <mergeCell ref="B233:C233"/>
    <mergeCell ref="E232:F232"/>
    <mergeCell ref="E233:F233"/>
    <mergeCell ref="B234:C234"/>
    <mergeCell ref="E234:F234"/>
    <mergeCell ref="B223:C223"/>
    <mergeCell ref="B227:C227"/>
    <mergeCell ref="E183:F183"/>
    <mergeCell ref="B230:C230"/>
    <mergeCell ref="E231:F231"/>
    <mergeCell ref="E186:F186"/>
    <mergeCell ref="E187:F187"/>
    <mergeCell ref="E188:F188"/>
    <mergeCell ref="E189:F189"/>
    <mergeCell ref="C282:F282"/>
    <mergeCell ref="A291:F291"/>
    <mergeCell ref="A292:F292"/>
    <mergeCell ref="B293:C293"/>
    <mergeCell ref="E293:F293"/>
    <mergeCell ref="B294:C294"/>
    <mergeCell ref="E294:F294"/>
    <mergeCell ref="A267:F267"/>
    <mergeCell ref="A268:F268"/>
    <mergeCell ref="C270:D270"/>
    <mergeCell ref="C271:D271"/>
    <mergeCell ref="A273:F273"/>
    <mergeCell ref="A281:F281"/>
    <mergeCell ref="B298:C298"/>
    <mergeCell ref="E298:F298"/>
    <mergeCell ref="B299:C299"/>
    <mergeCell ref="E299:F299"/>
    <mergeCell ref="B300:C300"/>
    <mergeCell ref="E300:F300"/>
    <mergeCell ref="B295:C295"/>
    <mergeCell ref="E295:F295"/>
    <mergeCell ref="B296:C296"/>
    <mergeCell ref="E296:F296"/>
    <mergeCell ref="B297:C297"/>
    <mergeCell ref="E297:F297"/>
    <mergeCell ref="B304:C304"/>
    <mergeCell ref="E304:F304"/>
    <mergeCell ref="B305:C305"/>
    <mergeCell ref="E305:F305"/>
    <mergeCell ref="B306:C306"/>
    <mergeCell ref="E306:F306"/>
    <mergeCell ref="B301:C301"/>
    <mergeCell ref="E301:F301"/>
    <mergeCell ref="B302:C302"/>
    <mergeCell ref="E302:F302"/>
    <mergeCell ref="B303:C303"/>
    <mergeCell ref="E303:F303"/>
    <mergeCell ref="B312:C312"/>
    <mergeCell ref="E312:F312"/>
    <mergeCell ref="B313:C313"/>
    <mergeCell ref="E313:F313"/>
    <mergeCell ref="B314:C314"/>
    <mergeCell ref="E314:F314"/>
    <mergeCell ref="B307:C307"/>
    <mergeCell ref="E307:F307"/>
    <mergeCell ref="B310:C310"/>
    <mergeCell ref="E310:F310"/>
    <mergeCell ref="B311:C311"/>
    <mergeCell ref="E311:F311"/>
    <mergeCell ref="B308:C308"/>
    <mergeCell ref="E308:F308"/>
    <mergeCell ref="B309:C309"/>
    <mergeCell ref="E309:F309"/>
    <mergeCell ref="B318:C318"/>
    <mergeCell ref="E318:F318"/>
    <mergeCell ref="B319:C319"/>
    <mergeCell ref="E319:F319"/>
    <mergeCell ref="B320:C320"/>
    <mergeCell ref="E320:F320"/>
    <mergeCell ref="B315:C315"/>
    <mergeCell ref="E315:F315"/>
    <mergeCell ref="B316:C316"/>
    <mergeCell ref="E316:F316"/>
    <mergeCell ref="B317:C317"/>
    <mergeCell ref="E317:F317"/>
    <mergeCell ref="B324:C324"/>
    <mergeCell ref="E324:F324"/>
    <mergeCell ref="B325:C325"/>
    <mergeCell ref="E325:F325"/>
    <mergeCell ref="B326:C326"/>
    <mergeCell ref="E326:F326"/>
    <mergeCell ref="B321:C321"/>
    <mergeCell ref="E321:F321"/>
    <mergeCell ref="B322:C322"/>
    <mergeCell ref="E322:F322"/>
    <mergeCell ref="B323:C323"/>
    <mergeCell ref="E323:F323"/>
    <mergeCell ref="B330:C330"/>
    <mergeCell ref="E330:F330"/>
    <mergeCell ref="B331:C331"/>
    <mergeCell ref="E331:F331"/>
    <mergeCell ref="B332:C332"/>
    <mergeCell ref="E332:F332"/>
    <mergeCell ref="B327:C327"/>
    <mergeCell ref="E327:F327"/>
    <mergeCell ref="B328:C328"/>
    <mergeCell ref="E328:F328"/>
    <mergeCell ref="B329:C329"/>
    <mergeCell ref="E329:F329"/>
    <mergeCell ref="B340:C340"/>
    <mergeCell ref="E340:F340"/>
    <mergeCell ref="B341:C341"/>
    <mergeCell ref="E341:F341"/>
    <mergeCell ref="B342:C342"/>
    <mergeCell ref="E342:F342"/>
    <mergeCell ref="B333:C333"/>
    <mergeCell ref="E333:F333"/>
    <mergeCell ref="B334:C334"/>
    <mergeCell ref="E334:F334"/>
    <mergeCell ref="B335:C335"/>
    <mergeCell ref="E335:F335"/>
    <mergeCell ref="B336:C336"/>
    <mergeCell ref="E336:F336"/>
    <mergeCell ref="B337:C337"/>
    <mergeCell ref="E337:F337"/>
    <mergeCell ref="B338:C338"/>
    <mergeCell ref="E338:F338"/>
    <mergeCell ref="B339:C339"/>
    <mergeCell ref="E339:F339"/>
    <mergeCell ref="B346:C346"/>
    <mergeCell ref="E346:F346"/>
    <mergeCell ref="B347:C347"/>
    <mergeCell ref="E347:F347"/>
    <mergeCell ref="B348:C348"/>
    <mergeCell ref="E348:F348"/>
    <mergeCell ref="B343:C343"/>
    <mergeCell ref="E343:F343"/>
    <mergeCell ref="B344:C344"/>
    <mergeCell ref="E344:F344"/>
    <mergeCell ref="B345:C345"/>
    <mergeCell ref="E345:F345"/>
    <mergeCell ref="B352:C352"/>
    <mergeCell ref="E352:F352"/>
    <mergeCell ref="B353:C353"/>
    <mergeCell ref="E353:F353"/>
    <mergeCell ref="B354:C354"/>
    <mergeCell ref="E354:F354"/>
    <mergeCell ref="B349:C349"/>
    <mergeCell ref="E349:F349"/>
    <mergeCell ref="B350:C350"/>
    <mergeCell ref="E350:F350"/>
    <mergeCell ref="B351:C351"/>
    <mergeCell ref="E351:F351"/>
    <mergeCell ref="B360:C360"/>
    <mergeCell ref="E360:F360"/>
    <mergeCell ref="B361:C361"/>
    <mergeCell ref="E361:F361"/>
    <mergeCell ref="B362:C362"/>
    <mergeCell ref="E362:F362"/>
    <mergeCell ref="B357:C357"/>
    <mergeCell ref="E357:F357"/>
    <mergeCell ref="B358:C358"/>
    <mergeCell ref="E358:F358"/>
    <mergeCell ref="B359:C359"/>
    <mergeCell ref="E359:F359"/>
    <mergeCell ref="B366:C366"/>
    <mergeCell ref="E366:F366"/>
    <mergeCell ref="B367:C367"/>
    <mergeCell ref="E367:F367"/>
    <mergeCell ref="B368:C368"/>
    <mergeCell ref="E368:F368"/>
    <mergeCell ref="B363:C363"/>
    <mergeCell ref="E363:F363"/>
    <mergeCell ref="B364:C364"/>
    <mergeCell ref="E364:F364"/>
    <mergeCell ref="B365:C365"/>
    <mergeCell ref="E365:F365"/>
    <mergeCell ref="B372:C372"/>
    <mergeCell ref="E372:F372"/>
    <mergeCell ref="B373:C373"/>
    <mergeCell ref="E373:F373"/>
    <mergeCell ref="B374:C374"/>
    <mergeCell ref="E374:F374"/>
    <mergeCell ref="B369:C369"/>
    <mergeCell ref="E369:F369"/>
    <mergeCell ref="A370:F370"/>
    <mergeCell ref="A371:F371"/>
    <mergeCell ref="B378:C378"/>
    <mergeCell ref="E378:F378"/>
    <mergeCell ref="B379:C379"/>
    <mergeCell ref="E379:F379"/>
    <mergeCell ref="B380:C380"/>
    <mergeCell ref="E380:F380"/>
    <mergeCell ref="B375:C375"/>
    <mergeCell ref="E375:F375"/>
    <mergeCell ref="B376:C376"/>
    <mergeCell ref="E376:F376"/>
    <mergeCell ref="B377:C377"/>
    <mergeCell ref="E377:F377"/>
    <mergeCell ref="B387:C387"/>
    <mergeCell ref="E387:F387"/>
    <mergeCell ref="B388:C388"/>
    <mergeCell ref="E388:F388"/>
    <mergeCell ref="B389:C389"/>
    <mergeCell ref="E389:F389"/>
    <mergeCell ref="B381:C381"/>
    <mergeCell ref="E381:F381"/>
    <mergeCell ref="B386:C386"/>
    <mergeCell ref="E386:F386"/>
    <mergeCell ref="B382:C382"/>
    <mergeCell ref="E382:F382"/>
    <mergeCell ref="B383:C383"/>
    <mergeCell ref="E383:F383"/>
    <mergeCell ref="B384:C384"/>
    <mergeCell ref="E384:F384"/>
    <mergeCell ref="B385:C385"/>
    <mergeCell ref="E385:F385"/>
    <mergeCell ref="B393:C393"/>
    <mergeCell ref="E393:F393"/>
    <mergeCell ref="B394:C394"/>
    <mergeCell ref="E394:F394"/>
    <mergeCell ref="B395:C395"/>
    <mergeCell ref="E395:F395"/>
    <mergeCell ref="B390:C390"/>
    <mergeCell ref="E390:F390"/>
    <mergeCell ref="B391:C391"/>
    <mergeCell ref="E391:F391"/>
    <mergeCell ref="B392:C392"/>
    <mergeCell ref="E392:F392"/>
    <mergeCell ref="B399:C399"/>
    <mergeCell ref="E399:F399"/>
    <mergeCell ref="B400:C400"/>
    <mergeCell ref="E400:F400"/>
    <mergeCell ref="B403:C403"/>
    <mergeCell ref="E403:F403"/>
    <mergeCell ref="B396:C396"/>
    <mergeCell ref="E396:F396"/>
    <mergeCell ref="B397:C397"/>
    <mergeCell ref="E397:F397"/>
    <mergeCell ref="B398:C398"/>
    <mergeCell ref="E398:F398"/>
    <mergeCell ref="B401:C401"/>
    <mergeCell ref="E401:F401"/>
    <mergeCell ref="B402:C402"/>
    <mergeCell ref="E402:F402"/>
    <mergeCell ref="B407:C407"/>
    <mergeCell ref="E407:F407"/>
    <mergeCell ref="B408:C408"/>
    <mergeCell ref="E408:F408"/>
    <mergeCell ref="B409:C409"/>
    <mergeCell ref="E409:F409"/>
    <mergeCell ref="B404:C404"/>
    <mergeCell ref="E404:F404"/>
    <mergeCell ref="B405:C405"/>
    <mergeCell ref="E405:F405"/>
    <mergeCell ref="B406:C406"/>
    <mergeCell ref="E406:F406"/>
    <mergeCell ref="B413:C413"/>
    <mergeCell ref="E413:F413"/>
    <mergeCell ref="B414:C414"/>
    <mergeCell ref="E414:F414"/>
    <mergeCell ref="B415:C415"/>
    <mergeCell ref="E415:F415"/>
    <mergeCell ref="B410:C410"/>
    <mergeCell ref="E410:F410"/>
    <mergeCell ref="B411:C411"/>
    <mergeCell ref="E411:F411"/>
    <mergeCell ref="B412:C412"/>
    <mergeCell ref="E412:F412"/>
    <mergeCell ref="B419:C419"/>
    <mergeCell ref="E419:F419"/>
    <mergeCell ref="B420:C420"/>
    <mergeCell ref="E420:F420"/>
    <mergeCell ref="B421:C421"/>
    <mergeCell ref="E421:F421"/>
    <mergeCell ref="B416:C416"/>
    <mergeCell ref="E416:F416"/>
    <mergeCell ref="B417:C417"/>
    <mergeCell ref="E417:F417"/>
    <mergeCell ref="B418:C418"/>
    <mergeCell ref="E418:F418"/>
    <mergeCell ref="B425:C425"/>
    <mergeCell ref="E425:F425"/>
    <mergeCell ref="B426:C426"/>
    <mergeCell ref="E426:F426"/>
    <mergeCell ref="B427:C427"/>
    <mergeCell ref="E427:F427"/>
    <mergeCell ref="B422:C422"/>
    <mergeCell ref="E422:F422"/>
    <mergeCell ref="B423:C423"/>
    <mergeCell ref="E423:F423"/>
    <mergeCell ref="B424:C424"/>
    <mergeCell ref="E424:F424"/>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E64:F64"/>
    <mergeCell ref="E65:F65"/>
    <mergeCell ref="E66:F66"/>
    <mergeCell ref="E67:F67"/>
    <mergeCell ref="B61:C61"/>
    <mergeCell ref="B62:C62"/>
    <mergeCell ref="B63:C63"/>
    <mergeCell ref="B64:C64"/>
    <mergeCell ref="B65:C65"/>
    <mergeCell ref="B66:C66"/>
    <mergeCell ref="B67:C67"/>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E111:F111"/>
    <mergeCell ref="E112:F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B355:C355"/>
    <mergeCell ref="B217:C217"/>
    <mergeCell ref="B218:C218"/>
    <mergeCell ref="B219:C219"/>
    <mergeCell ref="B220:C220"/>
    <mergeCell ref="B221:C221"/>
    <mergeCell ref="B222:C222"/>
    <mergeCell ref="B224:C224"/>
    <mergeCell ref="E182:F182"/>
    <mergeCell ref="E196:F196"/>
    <mergeCell ref="E197:F197"/>
    <mergeCell ref="E198:F198"/>
    <mergeCell ref="E199:F199"/>
    <mergeCell ref="E200:F200"/>
    <mergeCell ref="E201:F201"/>
    <mergeCell ref="E202:F202"/>
    <mergeCell ref="B356:C356"/>
    <mergeCell ref="E355:F355"/>
    <mergeCell ref="E356:F356"/>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E213:F213"/>
    <mergeCell ref="E214:F214"/>
    <mergeCell ref="E215:F215"/>
    <mergeCell ref="E216:F216"/>
    <mergeCell ref="E217:F217"/>
    <mergeCell ref="E218:F218"/>
    <mergeCell ref="E219:F219"/>
    <mergeCell ref="E220:F220"/>
    <mergeCell ref="B265:C265"/>
    <mergeCell ref="E223:F223"/>
    <mergeCell ref="E224:F224"/>
    <mergeCell ref="B225:C225"/>
    <mergeCell ref="B226:C226"/>
    <mergeCell ref="B228:C228"/>
    <mergeCell ref="B229:C229"/>
    <mergeCell ref="B237:C237"/>
    <mergeCell ref="B238:C238"/>
    <mergeCell ref="B239:C239"/>
    <mergeCell ref="B240:C240"/>
    <mergeCell ref="B241:C241"/>
    <mergeCell ref="B242:C242"/>
    <mergeCell ref="B243:C243"/>
    <mergeCell ref="B244:C244"/>
    <mergeCell ref="B245:C245"/>
    <mergeCell ref="B266:C266"/>
    <mergeCell ref="E261:F261"/>
    <mergeCell ref="E262:F262"/>
    <mergeCell ref="E263:F263"/>
    <mergeCell ref="E264:F264"/>
    <mergeCell ref="E265:F265"/>
    <mergeCell ref="E266:F266"/>
    <mergeCell ref="B261:C261"/>
    <mergeCell ref="B262:C262"/>
    <mergeCell ref="B263:C263"/>
    <mergeCell ref="B264:C264"/>
    <mergeCell ref="B428:C428"/>
    <mergeCell ref="E428:F428"/>
    <mergeCell ref="B429:C429"/>
    <mergeCell ref="E429:F429"/>
    <mergeCell ref="B430:C430"/>
    <mergeCell ref="E430:F430"/>
    <mergeCell ref="B431:C431"/>
    <mergeCell ref="E431:F431"/>
    <mergeCell ref="B432:C432"/>
    <mergeCell ref="E432:F432"/>
    <mergeCell ref="B433:C433"/>
    <mergeCell ref="E433:F433"/>
    <mergeCell ref="B434:C434"/>
    <mergeCell ref="E434:F434"/>
    <mergeCell ref="B435:C435"/>
    <mergeCell ref="E435:F435"/>
    <mergeCell ref="B436:C436"/>
    <mergeCell ref="E436:F436"/>
    <mergeCell ref="B437:C437"/>
    <mergeCell ref="E437:F437"/>
    <mergeCell ref="B438:C438"/>
    <mergeCell ref="E438:F438"/>
    <mergeCell ref="B439:C439"/>
    <mergeCell ref="E439:F439"/>
    <mergeCell ref="B440:C440"/>
    <mergeCell ref="E440:F440"/>
    <mergeCell ref="B441:C441"/>
    <mergeCell ref="E441:F441"/>
    <mergeCell ref="B442:C442"/>
    <mergeCell ref="E442:F442"/>
    <mergeCell ref="B443:C443"/>
    <mergeCell ref="E443:F443"/>
    <mergeCell ref="B444:C444"/>
    <mergeCell ref="E444:F444"/>
    <mergeCell ref="B445:C445"/>
    <mergeCell ref="E445:F445"/>
    <mergeCell ref="B446:C446"/>
    <mergeCell ref="E446:F446"/>
    <mergeCell ref="B447:C447"/>
    <mergeCell ref="E447:F447"/>
    <mergeCell ref="B448:C448"/>
    <mergeCell ref="E448:F448"/>
    <mergeCell ref="A449:F449"/>
    <mergeCell ref="A450:F450"/>
    <mergeCell ref="B451:C451"/>
    <mergeCell ref="E451:F451"/>
    <mergeCell ref="B452:C452"/>
    <mergeCell ref="E452:F452"/>
    <mergeCell ref="B453:C453"/>
    <mergeCell ref="E453:F453"/>
    <mergeCell ref="B454:C454"/>
    <mergeCell ref="E454:F454"/>
    <mergeCell ref="B455:C455"/>
    <mergeCell ref="E455:F455"/>
    <mergeCell ref="B456:C456"/>
    <mergeCell ref="E456:F456"/>
    <mergeCell ref="B457:C457"/>
    <mergeCell ref="E457:F457"/>
    <mergeCell ref="B458:C458"/>
    <mergeCell ref="E458:F458"/>
    <mergeCell ref="B459:C459"/>
    <mergeCell ref="E459:F459"/>
    <mergeCell ref="B460:C460"/>
    <mergeCell ref="E460:F460"/>
    <mergeCell ref="B461:C461"/>
    <mergeCell ref="E461:F461"/>
    <mergeCell ref="B462:C462"/>
    <mergeCell ref="E462:F462"/>
    <mergeCell ref="B463:C463"/>
    <mergeCell ref="E463:F463"/>
    <mergeCell ref="B464:C464"/>
    <mergeCell ref="E464:F464"/>
    <mergeCell ref="B465:C465"/>
    <mergeCell ref="E465:F465"/>
    <mergeCell ref="B466:C466"/>
    <mergeCell ref="E466:F466"/>
    <mergeCell ref="B467:C467"/>
    <mergeCell ref="E467:F467"/>
    <mergeCell ref="B468:C468"/>
    <mergeCell ref="E468:F468"/>
    <mergeCell ref="B469:C469"/>
    <mergeCell ref="E469:F469"/>
    <mergeCell ref="B470:C470"/>
    <mergeCell ref="E470:F470"/>
    <mergeCell ref="B471:C471"/>
    <mergeCell ref="E471:F471"/>
    <mergeCell ref="B472:C472"/>
    <mergeCell ref="E472:F472"/>
    <mergeCell ref="B473:C473"/>
    <mergeCell ref="E473:F473"/>
    <mergeCell ref="B474:C474"/>
    <mergeCell ref="E474:F474"/>
    <mergeCell ref="B475:C475"/>
    <mergeCell ref="E475:F475"/>
    <mergeCell ref="B476:C476"/>
    <mergeCell ref="E476:F476"/>
    <mergeCell ref="B477:C477"/>
    <mergeCell ref="E477:F477"/>
    <mergeCell ref="B478:C478"/>
    <mergeCell ref="E478:F478"/>
    <mergeCell ref="B479:C479"/>
    <mergeCell ref="E479:F479"/>
    <mergeCell ref="B480:C480"/>
    <mergeCell ref="E480:F480"/>
    <mergeCell ref="B481:C481"/>
    <mergeCell ref="E481:F481"/>
    <mergeCell ref="B482:C482"/>
    <mergeCell ref="E482:F482"/>
    <mergeCell ref="B483:C483"/>
    <mergeCell ref="E483:F483"/>
    <mergeCell ref="B484:C484"/>
    <mergeCell ref="E484:F484"/>
    <mergeCell ref="B485:C485"/>
    <mergeCell ref="E485:F485"/>
    <mergeCell ref="B486:C486"/>
    <mergeCell ref="E486:F486"/>
    <mergeCell ref="B487:C487"/>
    <mergeCell ref="E487:F487"/>
    <mergeCell ref="B488:C488"/>
    <mergeCell ref="E488:F488"/>
    <mergeCell ref="B489:C489"/>
    <mergeCell ref="E489:F489"/>
    <mergeCell ref="B490:C490"/>
    <mergeCell ref="E490:F490"/>
    <mergeCell ref="B491:C491"/>
    <mergeCell ref="E491:F491"/>
    <mergeCell ref="B492:C492"/>
    <mergeCell ref="E492:F492"/>
    <mergeCell ref="B493:C493"/>
    <mergeCell ref="E493:F493"/>
    <mergeCell ref="B494:C494"/>
    <mergeCell ref="E494:F494"/>
    <mergeCell ref="B495:C495"/>
    <mergeCell ref="E495:F495"/>
    <mergeCell ref="B496:C496"/>
    <mergeCell ref="E496:F496"/>
    <mergeCell ref="B497:C497"/>
    <mergeCell ref="E497:F497"/>
    <mergeCell ref="B498:C498"/>
    <mergeCell ref="E498:F498"/>
    <mergeCell ref="B499:C499"/>
    <mergeCell ref="E499:F499"/>
    <mergeCell ref="B500:C500"/>
    <mergeCell ref="E500:F500"/>
    <mergeCell ref="B501:C501"/>
    <mergeCell ref="E501:F501"/>
    <mergeCell ref="B502:C502"/>
    <mergeCell ref="E502:F502"/>
    <mergeCell ref="B503:C503"/>
    <mergeCell ref="E503:F503"/>
    <mergeCell ref="B504:C504"/>
    <mergeCell ref="E504:F504"/>
    <mergeCell ref="B505:C505"/>
    <mergeCell ref="E505:F505"/>
    <mergeCell ref="B506:C506"/>
    <mergeCell ref="E506:F506"/>
    <mergeCell ref="B507:C507"/>
    <mergeCell ref="E507:F507"/>
    <mergeCell ref="B508:C508"/>
    <mergeCell ref="E508:F508"/>
    <mergeCell ref="B509:C509"/>
    <mergeCell ref="E509:F509"/>
    <mergeCell ref="B510:C510"/>
    <mergeCell ref="E510:F510"/>
    <mergeCell ref="B511:C511"/>
    <mergeCell ref="E511:F511"/>
    <mergeCell ref="B512:C512"/>
    <mergeCell ref="E512:F512"/>
    <mergeCell ref="B513:C513"/>
    <mergeCell ref="E513:F513"/>
    <mergeCell ref="B514:C514"/>
    <mergeCell ref="E514:F514"/>
    <mergeCell ref="B515:C515"/>
    <mergeCell ref="E515:F515"/>
    <mergeCell ref="B516:C516"/>
    <mergeCell ref="E516:F516"/>
    <mergeCell ref="B517:C517"/>
    <mergeCell ref="E517:F517"/>
    <mergeCell ref="B518:C518"/>
    <mergeCell ref="E518:F518"/>
    <mergeCell ref="B524:C524"/>
    <mergeCell ref="E524:F524"/>
    <mergeCell ref="B525:C525"/>
    <mergeCell ref="E525:F525"/>
    <mergeCell ref="B519:C519"/>
    <mergeCell ref="E519:F519"/>
    <mergeCell ref="B520:C520"/>
    <mergeCell ref="E520:F520"/>
    <mergeCell ref="B521:C521"/>
    <mergeCell ref="E521:F521"/>
    <mergeCell ref="B522:C522"/>
    <mergeCell ref="E522:F522"/>
    <mergeCell ref="B523:C523"/>
    <mergeCell ref="E523:F523"/>
    <mergeCell ref="E69:F69"/>
    <mergeCell ref="E68:F68"/>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E225:F225"/>
    <mergeCell ref="E226:F226"/>
    <mergeCell ref="E227:F227"/>
    <mergeCell ref="E228:F228"/>
    <mergeCell ref="E229:F229"/>
    <mergeCell ref="E230:F230"/>
    <mergeCell ref="E235:F235"/>
    <mergeCell ref="E236:F236"/>
    <mergeCell ref="E237:F237"/>
    <mergeCell ref="E238:F238"/>
    <mergeCell ref="E239:F239"/>
    <mergeCell ref="E240:F240"/>
    <mergeCell ref="E241:F241"/>
    <mergeCell ref="E242:F242"/>
    <mergeCell ref="E243:F243"/>
    <mergeCell ref="E244:F244"/>
    <mergeCell ref="E245:F245"/>
    <mergeCell ref="E246:F246"/>
    <mergeCell ref="E247:F247"/>
    <mergeCell ref="E248:F248"/>
    <mergeCell ref="E249:F249"/>
    <mergeCell ref="E250:F250"/>
    <mergeCell ref="E260:F260"/>
    <mergeCell ref="E251:F251"/>
    <mergeCell ref="E252:F252"/>
    <mergeCell ref="E253:F253"/>
    <mergeCell ref="E254:F254"/>
    <mergeCell ref="E255:F255"/>
    <mergeCell ref="E256:F256"/>
    <mergeCell ref="E257:F257"/>
    <mergeCell ref="E258:F258"/>
    <mergeCell ref="E259:F259"/>
  </mergeCells>
  <pageMargins left="0.25" right="0.25" top="0.5" bottom="0.5" header="0.3" footer="0.3"/>
  <pageSetup fitToHeight="0" orientation="portrait" horizontalDpi="300" r:id="rId1"/>
  <rowBreaks count="11" manualBreakCount="11">
    <brk id="41" max="16383" man="1"/>
    <brk id="88" max="16383" man="1"/>
    <brk id="134" max="16383" man="1"/>
    <brk id="179" max="16383" man="1"/>
    <brk id="224" max="16383" man="1"/>
    <brk id="266" max="16383" man="1"/>
    <brk id="307" max="16383" man="1"/>
    <brk id="354" max="16383" man="1"/>
    <brk id="401" max="16383" man="1"/>
    <brk id="448" max="16383" man="1"/>
    <brk id="49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DA18"/>
  <sheetViews>
    <sheetView topLeftCell="C1" zoomScaleNormal="100" workbookViewId="0">
      <selection activeCell="Y4" sqref="Y4:Y9"/>
    </sheetView>
  </sheetViews>
  <sheetFormatPr defaultRowHeight="15" x14ac:dyDescent="0.25"/>
  <cols>
    <col min="1" max="16384" width="9.140625" style="57"/>
  </cols>
  <sheetData>
    <row r="3" spans="2:105" x14ac:dyDescent="0.25">
      <c r="E3" s="57" t="s">
        <v>75</v>
      </c>
      <c r="F3" s="57" t="s">
        <v>76</v>
      </c>
      <c r="G3" s="57" t="s">
        <v>77</v>
      </c>
      <c r="H3" s="57" t="s">
        <v>78</v>
      </c>
      <c r="I3" s="57" t="s">
        <v>79</v>
      </c>
      <c r="J3" s="57" t="s">
        <v>80</v>
      </c>
      <c r="K3" s="57" t="s">
        <v>81</v>
      </c>
      <c r="L3" s="57" t="s">
        <v>82</v>
      </c>
      <c r="M3" s="57" t="s">
        <v>83</v>
      </c>
      <c r="N3" s="57" t="s">
        <v>84</v>
      </c>
      <c r="O3" s="57" t="s">
        <v>85</v>
      </c>
      <c r="P3" s="57" t="s">
        <v>86</v>
      </c>
      <c r="Q3" s="57" t="s">
        <v>87</v>
      </c>
      <c r="R3" s="57" t="s">
        <v>88</v>
      </c>
      <c r="S3" s="57" t="s">
        <v>89</v>
      </c>
      <c r="T3" s="57" t="s">
        <v>90</v>
      </c>
      <c r="U3" s="57" t="s">
        <v>91</v>
      </c>
      <c r="V3" s="57" t="s">
        <v>92</v>
      </c>
      <c r="W3" s="57" t="s">
        <v>93</v>
      </c>
      <c r="X3" s="57" t="s">
        <v>94</v>
      </c>
      <c r="Y3" s="57" t="s">
        <v>95</v>
      </c>
      <c r="Z3" s="57" t="s">
        <v>96</v>
      </c>
      <c r="AA3" s="57" t="s">
        <v>97</v>
      </c>
      <c r="AB3" s="57" t="s">
        <v>98</v>
      </c>
      <c r="AC3" s="57" t="s">
        <v>99</v>
      </c>
      <c r="AD3" s="57" t="s">
        <v>100</v>
      </c>
      <c r="AE3" s="57" t="s">
        <v>101</v>
      </c>
      <c r="AF3" s="57" t="s">
        <v>102</v>
      </c>
      <c r="AG3" s="57" t="s">
        <v>103</v>
      </c>
      <c r="AH3" s="57" t="s">
        <v>104</v>
      </c>
      <c r="AI3" s="57" t="s">
        <v>105</v>
      </c>
      <c r="AJ3" s="57" t="s">
        <v>106</v>
      </c>
      <c r="AK3" s="57" t="s">
        <v>107</v>
      </c>
      <c r="AL3" s="57" t="s">
        <v>108</v>
      </c>
      <c r="AM3" s="57" t="s">
        <v>109</v>
      </c>
      <c r="AN3" s="57" t="s">
        <v>110</v>
      </c>
      <c r="AO3" s="57" t="s">
        <v>111</v>
      </c>
      <c r="AP3" s="57" t="s">
        <v>112</v>
      </c>
      <c r="AQ3" s="57" t="s">
        <v>113</v>
      </c>
      <c r="AR3" s="57" t="s">
        <v>114</v>
      </c>
      <c r="AS3" s="57" t="s">
        <v>115</v>
      </c>
      <c r="AT3" s="57" t="s">
        <v>116</v>
      </c>
      <c r="AU3" s="57" t="s">
        <v>117</v>
      </c>
      <c r="AV3" s="57" t="s">
        <v>118</v>
      </c>
      <c r="AW3" s="57" t="s">
        <v>119</v>
      </c>
      <c r="AX3" s="57" t="s">
        <v>120</v>
      </c>
      <c r="AY3" s="57" t="s">
        <v>121</v>
      </c>
      <c r="AZ3" s="57" t="s">
        <v>122</v>
      </c>
      <c r="BA3" s="57" t="s">
        <v>123</v>
      </c>
      <c r="BB3" s="57" t="s">
        <v>124</v>
      </c>
      <c r="BC3" s="57" t="s">
        <v>125</v>
      </c>
      <c r="BD3" s="57" t="s">
        <v>126</v>
      </c>
      <c r="BE3" s="57" t="s">
        <v>127</v>
      </c>
      <c r="BF3" s="57" t="s">
        <v>128</v>
      </c>
      <c r="BG3" s="57" t="s">
        <v>129</v>
      </c>
      <c r="BH3" s="57" t="s">
        <v>130</v>
      </c>
      <c r="BI3" s="57" t="s">
        <v>131</v>
      </c>
      <c r="BJ3" s="57" t="s">
        <v>132</v>
      </c>
      <c r="BK3" s="57" t="s">
        <v>133</v>
      </c>
      <c r="BL3" s="57" t="s">
        <v>134</v>
      </c>
      <c r="BM3" s="57" t="s">
        <v>135</v>
      </c>
      <c r="BN3" s="57" t="s">
        <v>136</v>
      </c>
      <c r="BO3" s="57" t="s">
        <v>137</v>
      </c>
      <c r="BP3" s="57" t="s">
        <v>138</v>
      </c>
      <c r="BQ3" s="57" t="s">
        <v>139</v>
      </c>
      <c r="BR3" s="57" t="s">
        <v>140</v>
      </c>
      <c r="BS3" s="57" t="s">
        <v>141</v>
      </c>
      <c r="BT3" s="57" t="s">
        <v>142</v>
      </c>
      <c r="BU3" s="57" t="s">
        <v>143</v>
      </c>
      <c r="BV3" s="57" t="s">
        <v>144</v>
      </c>
      <c r="BW3" s="57" t="s">
        <v>145</v>
      </c>
      <c r="BX3" s="57" t="s">
        <v>146</v>
      </c>
      <c r="BY3" s="57" t="s">
        <v>147</v>
      </c>
      <c r="BZ3" s="57" t="s">
        <v>148</v>
      </c>
      <c r="CA3" s="57" t="s">
        <v>149</v>
      </c>
      <c r="CB3" s="57" t="s">
        <v>150</v>
      </c>
      <c r="CC3" s="57" t="s">
        <v>151</v>
      </c>
      <c r="CD3" s="57" t="s">
        <v>152</v>
      </c>
      <c r="CE3" s="57" t="s">
        <v>153</v>
      </c>
      <c r="CF3" s="57" t="s">
        <v>154</v>
      </c>
      <c r="CG3" s="57" t="s">
        <v>155</v>
      </c>
      <c r="CH3" s="57" t="s">
        <v>156</v>
      </c>
      <c r="CI3" s="57" t="s">
        <v>157</v>
      </c>
      <c r="CJ3" s="57" t="s">
        <v>158</v>
      </c>
      <c r="CK3" s="57" t="s">
        <v>159</v>
      </c>
      <c r="CL3" s="57" t="s">
        <v>160</v>
      </c>
      <c r="CM3" s="57" t="s">
        <v>161</v>
      </c>
      <c r="CN3" s="57" t="s">
        <v>162</v>
      </c>
      <c r="CO3" s="57" t="s">
        <v>163</v>
      </c>
      <c r="CP3" s="57" t="s">
        <v>164</v>
      </c>
      <c r="CQ3" s="57" t="s">
        <v>165</v>
      </c>
      <c r="CR3" s="57" t="s">
        <v>166</v>
      </c>
      <c r="CS3" s="57" t="s">
        <v>167</v>
      </c>
      <c r="CT3" s="57" t="s">
        <v>168</v>
      </c>
      <c r="CU3" s="57" t="s">
        <v>169</v>
      </c>
      <c r="CV3" s="57" t="s">
        <v>170</v>
      </c>
      <c r="CW3" s="57" t="s">
        <v>171</v>
      </c>
      <c r="CX3" s="57" t="s">
        <v>172</v>
      </c>
      <c r="CY3" s="57" t="s">
        <v>173</v>
      </c>
      <c r="CZ3" s="57" t="s">
        <v>174</v>
      </c>
      <c r="DA3" s="57" t="s">
        <v>175</v>
      </c>
    </row>
    <row r="5" spans="2:105" x14ac:dyDescent="0.25">
      <c r="E5" s="58"/>
      <c r="F5" s="58">
        <v>0.35</v>
      </c>
      <c r="G5" s="58">
        <v>0.35</v>
      </c>
      <c r="H5" s="58">
        <v>0.3</v>
      </c>
      <c r="I5" s="58">
        <v>0.25</v>
      </c>
      <c r="J5" s="58">
        <v>0.2</v>
      </c>
      <c r="K5" s="58">
        <v>0.15000000000000002</v>
      </c>
      <c r="L5" s="58">
        <v>0.15000000000000002</v>
      </c>
      <c r="M5" s="58">
        <v>0.15000000000000002</v>
      </c>
      <c r="N5" s="58">
        <v>0.1</v>
      </c>
      <c r="O5" s="58">
        <v>0.1</v>
      </c>
      <c r="P5" s="58">
        <v>0.1</v>
      </c>
      <c r="Q5" s="58">
        <v>0.1</v>
      </c>
      <c r="R5" s="58">
        <v>0.1</v>
      </c>
      <c r="S5" s="58">
        <v>0.1</v>
      </c>
      <c r="T5" s="58">
        <v>0.1</v>
      </c>
      <c r="U5" s="58">
        <v>0.1</v>
      </c>
      <c r="V5" s="58">
        <v>0.1</v>
      </c>
      <c r="W5" s="58">
        <v>0.1</v>
      </c>
      <c r="X5" s="58">
        <v>0.1</v>
      </c>
      <c r="Y5" s="58">
        <v>0.1</v>
      </c>
      <c r="Z5" s="58">
        <v>0.1</v>
      </c>
      <c r="AA5" s="58">
        <v>0.1</v>
      </c>
      <c r="AB5" s="58">
        <v>0.1</v>
      </c>
      <c r="AC5" s="58">
        <v>0.1</v>
      </c>
      <c r="AD5" s="58">
        <v>0.1</v>
      </c>
      <c r="AE5" s="58">
        <v>0.1</v>
      </c>
      <c r="AF5" s="58">
        <v>0.1</v>
      </c>
      <c r="AG5" s="58">
        <v>0.1</v>
      </c>
      <c r="AH5" s="58">
        <v>0.1</v>
      </c>
      <c r="AI5" s="58">
        <v>0.1</v>
      </c>
      <c r="AJ5" s="58">
        <v>0.1</v>
      </c>
      <c r="AK5" s="58">
        <v>0.1</v>
      </c>
      <c r="AL5" s="58">
        <v>0.1</v>
      </c>
      <c r="AM5" s="58">
        <v>0.1</v>
      </c>
      <c r="AN5" s="58">
        <v>0.1</v>
      </c>
      <c r="AO5" s="58">
        <v>0.1</v>
      </c>
      <c r="AP5" s="58">
        <v>0.1</v>
      </c>
      <c r="AQ5" s="58">
        <v>0.1</v>
      </c>
      <c r="AR5" s="58">
        <v>0.1</v>
      </c>
      <c r="AS5" s="58">
        <v>0.1</v>
      </c>
      <c r="AT5" s="58">
        <v>0.1</v>
      </c>
      <c r="AU5" s="58">
        <v>0.1</v>
      </c>
      <c r="AV5" s="58">
        <v>0.1</v>
      </c>
      <c r="AW5" s="58">
        <v>0.1</v>
      </c>
      <c r="AX5" s="58">
        <v>0.1</v>
      </c>
      <c r="AY5" s="58">
        <v>0.1</v>
      </c>
      <c r="AZ5" s="58">
        <v>0.1</v>
      </c>
      <c r="BA5" s="58">
        <v>0.1</v>
      </c>
      <c r="BB5" s="58">
        <v>0.1</v>
      </c>
      <c r="BC5" s="58">
        <v>0.1</v>
      </c>
      <c r="BD5" s="58">
        <v>0.1</v>
      </c>
      <c r="BE5" s="58">
        <v>0.1</v>
      </c>
      <c r="BF5" s="58">
        <v>0.1</v>
      </c>
      <c r="BG5" s="58">
        <v>0.1</v>
      </c>
      <c r="BH5" s="58">
        <v>0.1</v>
      </c>
      <c r="BI5" s="58">
        <v>0.1</v>
      </c>
      <c r="BJ5" s="58">
        <v>0.1</v>
      </c>
      <c r="BK5" s="58">
        <v>0.1</v>
      </c>
      <c r="BL5" s="58">
        <v>0.1</v>
      </c>
      <c r="BM5" s="58">
        <v>0.1</v>
      </c>
      <c r="BN5" s="58">
        <v>0.1</v>
      </c>
      <c r="BO5" s="58">
        <v>0.1</v>
      </c>
      <c r="BP5" s="58">
        <v>0.1</v>
      </c>
      <c r="BQ5" s="58">
        <v>0.1</v>
      </c>
      <c r="BR5" s="58">
        <v>0.1</v>
      </c>
      <c r="BS5" s="58">
        <v>0.1</v>
      </c>
      <c r="BT5" s="58">
        <v>0.1</v>
      </c>
      <c r="BU5" s="58">
        <v>0.1</v>
      </c>
      <c r="BV5" s="58">
        <v>0.1</v>
      </c>
      <c r="BW5" s="58">
        <v>0.1</v>
      </c>
      <c r="BX5" s="58">
        <v>0.1</v>
      </c>
      <c r="BY5" s="58">
        <v>0.1</v>
      </c>
      <c r="BZ5" s="58">
        <v>0.1</v>
      </c>
      <c r="CA5" s="58">
        <v>0.1</v>
      </c>
      <c r="CB5" s="58">
        <v>0.1</v>
      </c>
      <c r="CC5" s="58">
        <v>0.1</v>
      </c>
      <c r="CD5" s="58">
        <v>0.1</v>
      </c>
      <c r="CE5" s="58">
        <v>0.1</v>
      </c>
      <c r="CF5" s="58">
        <v>0.1</v>
      </c>
      <c r="CG5" s="58">
        <v>0.1</v>
      </c>
      <c r="CH5" s="58">
        <v>0.1</v>
      </c>
      <c r="CI5" s="58">
        <v>0.1</v>
      </c>
      <c r="CJ5" s="58">
        <v>0.1</v>
      </c>
      <c r="CK5" s="58">
        <v>0.1</v>
      </c>
      <c r="CL5" s="58">
        <v>0.1</v>
      </c>
      <c r="CM5" s="58">
        <v>0.1</v>
      </c>
      <c r="CN5" s="58">
        <v>0.1</v>
      </c>
      <c r="CO5" s="58">
        <v>0.1</v>
      </c>
      <c r="CP5" s="58">
        <v>0.1</v>
      </c>
      <c r="CQ5" s="58">
        <v>0.1</v>
      </c>
      <c r="CR5" s="58">
        <v>0.1</v>
      </c>
      <c r="CS5" s="58">
        <v>0.1</v>
      </c>
      <c r="CT5" s="58">
        <v>0.1</v>
      </c>
      <c r="CU5" s="58">
        <v>0.1</v>
      </c>
      <c r="CV5" s="58">
        <v>0.1</v>
      </c>
      <c r="CW5" s="58">
        <v>0.1</v>
      </c>
      <c r="CX5" s="58">
        <v>0.1</v>
      </c>
      <c r="CY5" s="58">
        <v>0.1</v>
      </c>
      <c r="CZ5" s="58">
        <v>0.1</v>
      </c>
      <c r="DA5" s="58">
        <v>0.1</v>
      </c>
    </row>
    <row r="6" spans="2:105" x14ac:dyDescent="0.25">
      <c r="E6" s="58"/>
      <c r="F6" s="58"/>
      <c r="G6" s="58"/>
      <c r="J6" s="58">
        <v>0.25</v>
      </c>
      <c r="K6" s="58">
        <v>0.2</v>
      </c>
      <c r="L6" s="58">
        <v>0.2</v>
      </c>
      <c r="M6" s="58">
        <v>0.2</v>
      </c>
      <c r="N6" s="58">
        <v>0.15000000000000002</v>
      </c>
      <c r="O6" s="58">
        <v>0.15000000000000002</v>
      </c>
      <c r="P6" s="58">
        <v>0.15000000000000002</v>
      </c>
      <c r="Q6" s="58">
        <v>0.15000000000000002</v>
      </c>
      <c r="R6" s="58">
        <v>0.15000000000000002</v>
      </c>
      <c r="S6" s="58">
        <v>0.15000000000000002</v>
      </c>
      <c r="T6" s="58">
        <v>0.15000000000000002</v>
      </c>
      <c r="U6" s="58">
        <v>0.15000000000000002</v>
      </c>
      <c r="V6" s="58">
        <v>0.15000000000000002</v>
      </c>
      <c r="W6" s="58">
        <v>0.15000000000000002</v>
      </c>
      <c r="X6" s="58">
        <v>0.15000000000000002</v>
      </c>
      <c r="Y6" s="58">
        <v>0.15000000000000002</v>
      </c>
      <c r="Z6" s="58">
        <v>0.15000000000000002</v>
      </c>
      <c r="AA6" s="58">
        <v>0.15000000000000002</v>
      </c>
      <c r="AB6" s="58">
        <v>0.15000000000000002</v>
      </c>
      <c r="AC6" s="58">
        <v>0.15000000000000002</v>
      </c>
      <c r="AD6" s="58">
        <v>0.15000000000000002</v>
      </c>
      <c r="AE6" s="58">
        <v>0.15000000000000002</v>
      </c>
      <c r="AF6" s="58">
        <v>0.15000000000000002</v>
      </c>
      <c r="AG6" s="58">
        <v>0.15000000000000002</v>
      </c>
      <c r="AH6" s="58">
        <v>0.15000000000000002</v>
      </c>
      <c r="AI6" s="58">
        <v>0.15000000000000002</v>
      </c>
      <c r="AJ6" s="58">
        <v>0.15000000000000002</v>
      </c>
      <c r="AK6" s="58">
        <v>0.15000000000000002</v>
      </c>
      <c r="AL6" s="58">
        <v>0.15000000000000002</v>
      </c>
      <c r="AM6" s="58">
        <v>0.15000000000000002</v>
      </c>
      <c r="AN6" s="58">
        <v>0.15000000000000002</v>
      </c>
      <c r="AO6" s="58">
        <v>0.15000000000000002</v>
      </c>
      <c r="AP6" s="58">
        <v>0.15000000000000002</v>
      </c>
      <c r="AQ6" s="58">
        <v>0.15000000000000002</v>
      </c>
      <c r="AR6" s="58">
        <v>0.15000000000000002</v>
      </c>
      <c r="AS6" s="58">
        <v>0.15000000000000002</v>
      </c>
      <c r="AT6" s="58">
        <v>0.15000000000000002</v>
      </c>
      <c r="AU6" s="58">
        <v>0.15000000000000002</v>
      </c>
      <c r="AV6" s="58">
        <v>0.15000000000000002</v>
      </c>
      <c r="AW6" s="58">
        <v>0.15000000000000002</v>
      </c>
      <c r="AX6" s="58">
        <v>0.15000000000000002</v>
      </c>
      <c r="AY6" s="58">
        <v>0.15000000000000002</v>
      </c>
      <c r="AZ6" s="58">
        <v>0.15000000000000002</v>
      </c>
      <c r="BA6" s="58">
        <v>0.15000000000000002</v>
      </c>
      <c r="BB6" s="58">
        <v>0.15000000000000002</v>
      </c>
      <c r="BC6" s="58">
        <v>0.15000000000000002</v>
      </c>
      <c r="BD6" s="58">
        <v>0.15000000000000002</v>
      </c>
      <c r="BE6" s="58">
        <v>0.15000000000000002</v>
      </c>
      <c r="BF6" s="58">
        <v>0.15000000000000002</v>
      </c>
      <c r="BG6" s="58">
        <v>0.15000000000000002</v>
      </c>
      <c r="BH6" s="58">
        <v>0.15000000000000002</v>
      </c>
      <c r="BI6" s="58">
        <v>0.15000000000000002</v>
      </c>
      <c r="BJ6" s="58">
        <v>0.15000000000000002</v>
      </c>
      <c r="BK6" s="58">
        <v>0.15000000000000002</v>
      </c>
      <c r="BL6" s="58">
        <v>0.15000000000000002</v>
      </c>
      <c r="BM6" s="58">
        <v>0.15000000000000002</v>
      </c>
      <c r="BN6" s="58">
        <v>0.15000000000000002</v>
      </c>
      <c r="BO6" s="58">
        <v>0.15000000000000002</v>
      </c>
      <c r="BP6" s="58">
        <v>0.15000000000000002</v>
      </c>
      <c r="BQ6" s="58">
        <v>0.15000000000000002</v>
      </c>
      <c r="BR6" s="58">
        <v>0.15000000000000002</v>
      </c>
      <c r="BS6" s="58">
        <v>0.15000000000000002</v>
      </c>
      <c r="BT6" s="58">
        <v>0.15000000000000002</v>
      </c>
      <c r="BU6" s="58">
        <v>0.15000000000000002</v>
      </c>
      <c r="BV6" s="58">
        <v>0.15000000000000002</v>
      </c>
      <c r="BW6" s="58">
        <v>0.15000000000000002</v>
      </c>
      <c r="BX6" s="58">
        <v>0.15000000000000002</v>
      </c>
      <c r="BY6" s="58">
        <v>0.15000000000000002</v>
      </c>
      <c r="BZ6" s="58">
        <v>0.15000000000000002</v>
      </c>
      <c r="CA6" s="58">
        <v>0.15000000000000002</v>
      </c>
      <c r="CB6" s="58">
        <v>0.15000000000000002</v>
      </c>
      <c r="CC6" s="58">
        <v>0.15000000000000002</v>
      </c>
      <c r="CD6" s="58">
        <v>0.15000000000000002</v>
      </c>
      <c r="CE6" s="58">
        <v>0.15000000000000002</v>
      </c>
      <c r="CF6" s="58">
        <v>0.15000000000000002</v>
      </c>
      <c r="CG6" s="58">
        <v>0.15000000000000002</v>
      </c>
      <c r="CH6" s="58">
        <v>0.15000000000000002</v>
      </c>
      <c r="CI6" s="58">
        <v>0.15000000000000002</v>
      </c>
      <c r="CJ6" s="58">
        <v>0.15000000000000002</v>
      </c>
      <c r="CK6" s="58">
        <v>0.15000000000000002</v>
      </c>
      <c r="CL6" s="58">
        <v>0.15000000000000002</v>
      </c>
      <c r="CM6" s="58">
        <v>0.15000000000000002</v>
      </c>
      <c r="CN6" s="58">
        <v>0.15000000000000002</v>
      </c>
      <c r="CO6" s="58">
        <v>0.15000000000000002</v>
      </c>
      <c r="CP6" s="58">
        <v>0.15000000000000002</v>
      </c>
      <c r="CQ6" s="58">
        <v>0.15000000000000002</v>
      </c>
      <c r="CR6" s="58">
        <v>0.15000000000000002</v>
      </c>
      <c r="CS6" s="58">
        <v>0.15000000000000002</v>
      </c>
      <c r="CT6" s="58">
        <v>0.15000000000000002</v>
      </c>
      <c r="CU6" s="58">
        <v>0.15000000000000002</v>
      </c>
      <c r="CV6" s="58">
        <v>0.15000000000000002</v>
      </c>
      <c r="CW6" s="58">
        <v>0.15000000000000002</v>
      </c>
      <c r="CX6" s="58">
        <v>0.15000000000000002</v>
      </c>
      <c r="CY6" s="58">
        <v>0.15000000000000002</v>
      </c>
      <c r="CZ6" s="58">
        <v>0.15000000000000002</v>
      </c>
      <c r="DA6" s="58">
        <v>0.15000000000000002</v>
      </c>
    </row>
    <row r="7" spans="2:105" x14ac:dyDescent="0.25">
      <c r="E7" s="58"/>
      <c r="F7" s="58"/>
      <c r="G7" s="58"/>
      <c r="J7" s="58">
        <v>0.3</v>
      </c>
      <c r="K7" s="58">
        <v>0.25</v>
      </c>
      <c r="L7" s="58">
        <v>0.25</v>
      </c>
      <c r="M7" s="58">
        <v>0.25</v>
      </c>
      <c r="N7" s="58">
        <v>0.2</v>
      </c>
      <c r="O7" s="58">
        <v>0.2</v>
      </c>
      <c r="P7" s="58">
        <v>0.2</v>
      </c>
      <c r="Q7" s="58">
        <v>0.2</v>
      </c>
      <c r="R7" s="58">
        <v>0.2</v>
      </c>
      <c r="S7" s="58">
        <v>0.2</v>
      </c>
      <c r="T7" s="58">
        <v>0.2</v>
      </c>
      <c r="U7" s="58">
        <v>0.2</v>
      </c>
      <c r="V7" s="58">
        <v>0.2</v>
      </c>
      <c r="W7" s="58">
        <v>0.2</v>
      </c>
      <c r="X7" s="58">
        <v>0.2</v>
      </c>
      <c r="Y7" s="58">
        <v>0.2</v>
      </c>
      <c r="Z7" s="58">
        <v>0.2</v>
      </c>
      <c r="AA7" s="58">
        <v>0.2</v>
      </c>
      <c r="AB7" s="58">
        <v>0.2</v>
      </c>
      <c r="AC7" s="58">
        <v>0.2</v>
      </c>
      <c r="AD7" s="58">
        <v>0.2</v>
      </c>
      <c r="AE7" s="58">
        <v>0.2</v>
      </c>
      <c r="AF7" s="58">
        <v>0.2</v>
      </c>
      <c r="AG7" s="58">
        <v>0.2</v>
      </c>
      <c r="AH7" s="58">
        <v>0.2</v>
      </c>
      <c r="AI7" s="58">
        <v>0.2</v>
      </c>
      <c r="AJ7" s="58">
        <v>0.2</v>
      </c>
      <c r="AK7" s="58">
        <v>0.2</v>
      </c>
      <c r="AL7" s="58">
        <v>0.2</v>
      </c>
      <c r="AM7" s="58">
        <v>0.2</v>
      </c>
      <c r="AN7" s="58">
        <v>0.2</v>
      </c>
      <c r="AO7" s="58">
        <v>0.2</v>
      </c>
      <c r="AP7" s="58">
        <v>0.2</v>
      </c>
      <c r="AQ7" s="58">
        <v>0.2</v>
      </c>
      <c r="AR7" s="58">
        <v>0.2</v>
      </c>
      <c r="AS7" s="58">
        <v>0.2</v>
      </c>
      <c r="AT7" s="58">
        <v>0.2</v>
      </c>
      <c r="AU7" s="58">
        <v>0.2</v>
      </c>
      <c r="AV7" s="58">
        <v>0.2</v>
      </c>
      <c r="AW7" s="58">
        <v>0.2</v>
      </c>
      <c r="AX7" s="58">
        <v>0.2</v>
      </c>
      <c r="AY7" s="58">
        <v>0.2</v>
      </c>
      <c r="AZ7" s="58">
        <v>0.2</v>
      </c>
      <c r="BA7" s="58">
        <v>0.2</v>
      </c>
      <c r="BB7" s="58">
        <v>0.2</v>
      </c>
      <c r="BC7" s="58">
        <v>0.2</v>
      </c>
      <c r="BD7" s="58">
        <v>0.2</v>
      </c>
      <c r="BE7" s="58">
        <v>0.2</v>
      </c>
      <c r="BF7" s="58">
        <v>0.2</v>
      </c>
      <c r="BG7" s="58">
        <v>0.2</v>
      </c>
      <c r="BH7" s="58">
        <v>0.2</v>
      </c>
      <c r="BI7" s="58">
        <v>0.2</v>
      </c>
      <c r="BJ7" s="58">
        <v>0.2</v>
      </c>
      <c r="BK7" s="58">
        <v>0.2</v>
      </c>
      <c r="BL7" s="58">
        <v>0.2</v>
      </c>
      <c r="BM7" s="58">
        <v>0.2</v>
      </c>
      <c r="BN7" s="58">
        <v>0.2</v>
      </c>
      <c r="BO7" s="58">
        <v>0.2</v>
      </c>
      <c r="BP7" s="58">
        <v>0.2</v>
      </c>
      <c r="BQ7" s="58">
        <v>0.2</v>
      </c>
      <c r="BR7" s="58">
        <v>0.2</v>
      </c>
      <c r="BS7" s="58">
        <v>0.2</v>
      </c>
      <c r="BT7" s="58">
        <v>0.2</v>
      </c>
      <c r="BU7" s="58">
        <v>0.2</v>
      </c>
      <c r="BV7" s="58">
        <v>0.2</v>
      </c>
      <c r="BW7" s="58">
        <v>0.2</v>
      </c>
      <c r="BX7" s="58">
        <v>0.2</v>
      </c>
      <c r="BY7" s="58">
        <v>0.2</v>
      </c>
      <c r="BZ7" s="58">
        <v>0.2</v>
      </c>
      <c r="CA7" s="58">
        <v>0.2</v>
      </c>
      <c r="CB7" s="58">
        <v>0.2</v>
      </c>
      <c r="CC7" s="58">
        <v>0.2</v>
      </c>
      <c r="CD7" s="58">
        <v>0.2</v>
      </c>
      <c r="CE7" s="58">
        <v>0.2</v>
      </c>
      <c r="CF7" s="58">
        <v>0.2</v>
      </c>
      <c r="CG7" s="58">
        <v>0.2</v>
      </c>
      <c r="CH7" s="58">
        <v>0.2</v>
      </c>
      <c r="CI7" s="58">
        <v>0.2</v>
      </c>
      <c r="CJ7" s="58">
        <v>0.2</v>
      </c>
      <c r="CK7" s="58">
        <v>0.2</v>
      </c>
      <c r="CL7" s="58">
        <v>0.2</v>
      </c>
      <c r="CM7" s="58">
        <v>0.2</v>
      </c>
      <c r="CN7" s="58">
        <v>0.2</v>
      </c>
      <c r="CO7" s="58">
        <v>0.2</v>
      </c>
      <c r="CP7" s="58">
        <v>0.2</v>
      </c>
      <c r="CQ7" s="58">
        <v>0.2</v>
      </c>
      <c r="CR7" s="58">
        <v>0.2</v>
      </c>
      <c r="CS7" s="58">
        <v>0.2</v>
      </c>
      <c r="CT7" s="58">
        <v>0.2</v>
      </c>
      <c r="CU7" s="58">
        <v>0.2</v>
      </c>
      <c r="CV7" s="58">
        <v>0.2</v>
      </c>
      <c r="CW7" s="58">
        <v>0.2</v>
      </c>
      <c r="CX7" s="58">
        <v>0.2</v>
      </c>
      <c r="CY7" s="58">
        <v>0.2</v>
      </c>
      <c r="CZ7" s="58">
        <v>0.2</v>
      </c>
      <c r="DA7" s="58">
        <v>0.2</v>
      </c>
    </row>
    <row r="8" spans="2:105" x14ac:dyDescent="0.25">
      <c r="E8" s="58"/>
      <c r="F8" s="58"/>
      <c r="G8" s="58"/>
      <c r="K8" s="58">
        <v>0.3</v>
      </c>
      <c r="L8" s="58">
        <v>0.3</v>
      </c>
      <c r="M8" s="58">
        <v>0.3</v>
      </c>
      <c r="N8" s="58">
        <v>0.25</v>
      </c>
      <c r="O8" s="58">
        <v>0.25</v>
      </c>
      <c r="P8" s="58">
        <v>0.25</v>
      </c>
      <c r="Q8" s="58">
        <v>0.25</v>
      </c>
      <c r="R8" s="58">
        <v>0.25</v>
      </c>
      <c r="S8" s="58">
        <v>0.25</v>
      </c>
      <c r="T8" s="58">
        <v>0.25</v>
      </c>
      <c r="U8" s="58">
        <v>0.25</v>
      </c>
      <c r="V8" s="58">
        <v>0.25</v>
      </c>
      <c r="W8" s="58">
        <v>0.25</v>
      </c>
      <c r="X8" s="58">
        <v>0.25</v>
      </c>
      <c r="Y8" s="58">
        <v>0.25</v>
      </c>
      <c r="Z8" s="58">
        <v>0.25</v>
      </c>
      <c r="AA8" s="58">
        <v>0.25</v>
      </c>
      <c r="AB8" s="58">
        <v>0.25</v>
      </c>
      <c r="AC8" s="58">
        <v>0.25</v>
      </c>
      <c r="AD8" s="58">
        <v>0.25</v>
      </c>
      <c r="AE8" s="58">
        <v>0.25</v>
      </c>
      <c r="AF8" s="58">
        <v>0.25</v>
      </c>
      <c r="AG8" s="58">
        <v>0.25</v>
      </c>
      <c r="AH8" s="58">
        <v>0.25</v>
      </c>
      <c r="AI8" s="58">
        <v>0.25</v>
      </c>
      <c r="AJ8" s="58">
        <v>0.25</v>
      </c>
      <c r="AK8" s="58">
        <v>0.25</v>
      </c>
      <c r="AL8" s="58">
        <v>0.25</v>
      </c>
      <c r="AM8" s="58">
        <v>0.25</v>
      </c>
      <c r="AN8" s="58">
        <v>0.25</v>
      </c>
      <c r="AO8" s="58">
        <v>0.25</v>
      </c>
      <c r="AP8" s="58">
        <v>0.25</v>
      </c>
      <c r="AQ8" s="58">
        <v>0.25</v>
      </c>
      <c r="AR8" s="58">
        <v>0.25</v>
      </c>
      <c r="AS8" s="58">
        <v>0.25</v>
      </c>
      <c r="AT8" s="58">
        <v>0.25</v>
      </c>
      <c r="AU8" s="58">
        <v>0.25</v>
      </c>
      <c r="AV8" s="58">
        <v>0.25</v>
      </c>
      <c r="AW8" s="58">
        <v>0.25</v>
      </c>
      <c r="AX8" s="58">
        <v>0.25</v>
      </c>
      <c r="AY8" s="58">
        <v>0.25</v>
      </c>
      <c r="AZ8" s="58">
        <v>0.25</v>
      </c>
      <c r="BA8" s="58">
        <v>0.25</v>
      </c>
      <c r="BB8" s="58">
        <v>0.25</v>
      </c>
      <c r="BC8" s="58">
        <v>0.25</v>
      </c>
      <c r="BD8" s="58">
        <v>0.25</v>
      </c>
      <c r="BE8" s="58">
        <v>0.25</v>
      </c>
      <c r="BF8" s="58">
        <v>0.25</v>
      </c>
      <c r="BG8" s="58">
        <v>0.25</v>
      </c>
      <c r="BH8" s="58">
        <v>0.25</v>
      </c>
      <c r="BI8" s="58">
        <v>0.25</v>
      </c>
      <c r="BJ8" s="58">
        <v>0.25</v>
      </c>
      <c r="BK8" s="58">
        <v>0.25</v>
      </c>
      <c r="BL8" s="58">
        <v>0.25</v>
      </c>
      <c r="BM8" s="58">
        <v>0.25</v>
      </c>
      <c r="BN8" s="58">
        <v>0.25</v>
      </c>
      <c r="BO8" s="58">
        <v>0.25</v>
      </c>
      <c r="BP8" s="58">
        <v>0.25</v>
      </c>
      <c r="BQ8" s="58">
        <v>0.25</v>
      </c>
      <c r="BR8" s="58">
        <v>0.25</v>
      </c>
      <c r="BS8" s="58">
        <v>0.25</v>
      </c>
      <c r="BT8" s="58">
        <v>0.25</v>
      </c>
      <c r="BU8" s="58">
        <v>0.25</v>
      </c>
      <c r="BV8" s="58">
        <v>0.25</v>
      </c>
      <c r="BW8" s="58">
        <v>0.25</v>
      </c>
      <c r="BX8" s="58">
        <v>0.25</v>
      </c>
      <c r="BY8" s="58">
        <v>0.25</v>
      </c>
      <c r="BZ8" s="58">
        <v>0.25</v>
      </c>
      <c r="CA8" s="58">
        <v>0.25</v>
      </c>
      <c r="CB8" s="58">
        <v>0.25</v>
      </c>
      <c r="CC8" s="58">
        <v>0.25</v>
      </c>
      <c r="CD8" s="58">
        <v>0.25</v>
      </c>
      <c r="CE8" s="58">
        <v>0.25</v>
      </c>
      <c r="CF8" s="58">
        <v>0.25</v>
      </c>
      <c r="CG8" s="58">
        <v>0.25</v>
      </c>
      <c r="CH8" s="58">
        <v>0.25</v>
      </c>
      <c r="CI8" s="58">
        <v>0.25</v>
      </c>
      <c r="CJ8" s="58">
        <v>0.25</v>
      </c>
      <c r="CK8" s="58">
        <v>0.25</v>
      </c>
      <c r="CL8" s="58">
        <v>0.25</v>
      </c>
      <c r="CM8" s="58">
        <v>0.25</v>
      </c>
      <c r="CN8" s="58">
        <v>0.25</v>
      </c>
      <c r="CO8" s="58">
        <v>0.25</v>
      </c>
      <c r="CP8" s="58">
        <v>0.25</v>
      </c>
      <c r="CQ8" s="58">
        <v>0.25</v>
      </c>
      <c r="CR8" s="58">
        <v>0.25</v>
      </c>
      <c r="CS8" s="58">
        <v>0.25</v>
      </c>
      <c r="CT8" s="58">
        <v>0.25</v>
      </c>
      <c r="CU8" s="58">
        <v>0.25</v>
      </c>
      <c r="CV8" s="58">
        <v>0.25</v>
      </c>
      <c r="CW8" s="58">
        <v>0.25</v>
      </c>
      <c r="CX8" s="58">
        <v>0.25</v>
      </c>
      <c r="CY8" s="58">
        <v>0.25</v>
      </c>
      <c r="CZ8" s="58">
        <v>0.25</v>
      </c>
      <c r="DA8" s="58">
        <v>0.25</v>
      </c>
    </row>
    <row r="9" spans="2:105" x14ac:dyDescent="0.25">
      <c r="E9" s="58"/>
      <c r="N9" s="58">
        <v>0.3</v>
      </c>
      <c r="O9" s="58">
        <v>0.3</v>
      </c>
      <c r="P9" s="58">
        <v>0.3</v>
      </c>
      <c r="Q9" s="58">
        <v>0.3</v>
      </c>
      <c r="R9" s="58">
        <v>0.3</v>
      </c>
      <c r="S9" s="58">
        <v>0.3</v>
      </c>
      <c r="T9" s="58">
        <v>0.3</v>
      </c>
      <c r="U9" s="58">
        <v>0.3</v>
      </c>
      <c r="V9" s="58">
        <v>0.3</v>
      </c>
      <c r="W9" s="58">
        <v>0.3</v>
      </c>
      <c r="X9" s="58">
        <v>0.3</v>
      </c>
      <c r="Y9" s="58">
        <v>0.3</v>
      </c>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row>
    <row r="10" spans="2:105" x14ac:dyDescent="0.25">
      <c r="V10" s="58"/>
      <c r="W10" s="58"/>
      <c r="X10" s="58"/>
      <c r="Y10" s="58"/>
      <c r="DA10" s="58"/>
    </row>
    <row r="11" spans="2:105" x14ac:dyDescent="0.25">
      <c r="DA11" s="58"/>
    </row>
    <row r="12" spans="2:105" x14ac:dyDescent="0.25">
      <c r="DA12" s="58"/>
    </row>
    <row r="13" spans="2:105" x14ac:dyDescent="0.25">
      <c r="DA13" s="58"/>
    </row>
    <row r="14" spans="2:105" x14ac:dyDescent="0.25">
      <c r="DA14" s="58"/>
    </row>
    <row r="15" spans="2:105" x14ac:dyDescent="0.25">
      <c r="B15" s="57" t="s">
        <v>176</v>
      </c>
      <c r="E15" s="57" t="s">
        <v>180</v>
      </c>
      <c r="DA15" s="58"/>
    </row>
    <row r="16" spans="2:105" x14ac:dyDescent="0.25">
      <c r="B16" s="57" t="s">
        <v>177</v>
      </c>
      <c r="C16" s="57" t="str">
        <f>"_"&amp;'SGO #1(Tiered or Simple)'!D11</f>
        <v>_0</v>
      </c>
      <c r="E16" s="57" t="s">
        <v>177</v>
      </c>
      <c r="F16" s="57" t="str">
        <f>"_"&amp;'SGO #2(Tiered or Simple)'!D11</f>
        <v>_0</v>
      </c>
      <c r="DA16" s="58"/>
    </row>
    <row r="17" spans="2:105" x14ac:dyDescent="0.25">
      <c r="B17" s="57" t="s">
        <v>178</v>
      </c>
      <c r="C17" s="57" t="str">
        <f>"_"&amp;'SGO #1(Tiered or Simple)'!D14</f>
        <v>_0</v>
      </c>
      <c r="E17" s="57" t="s">
        <v>178</v>
      </c>
      <c r="F17" s="57" t="str">
        <f>"_"&amp;'SGO #2(Tiered or Simple)'!D14</f>
        <v>_0</v>
      </c>
      <c r="DA17" s="58"/>
    </row>
    <row r="18" spans="2:105" x14ac:dyDescent="0.25">
      <c r="B18" s="57" t="s">
        <v>179</v>
      </c>
      <c r="C18" s="57" t="str">
        <f>"_"&amp;'SGO #1(Tiered or Simple)'!D17</f>
        <v>_0</v>
      </c>
      <c r="E18" s="57" t="s">
        <v>179</v>
      </c>
      <c r="F18" s="57" t="str">
        <f>"_"&amp;'SGO #2(Tiered or Simple)'!D17</f>
        <v>_0</v>
      </c>
      <c r="DA18" s="58"/>
    </row>
  </sheetData>
  <sheetProtection password="CC4A" sheet="1" objects="1" scenarios="1" selectLockedCells="1" selectUnlockedCells="1"/>
  <pageMargins left="0.7" right="0.7" top="0.75" bottom="0.75" header="0.3" footer="0.3"/>
  <pageSetup orientation="portrait"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59999389629810485"/>
    <pageSetUpPr fitToPage="1"/>
  </sheetPr>
  <dimension ref="A1:J211"/>
  <sheetViews>
    <sheetView view="pageLayout" zoomScaleNormal="100" workbookViewId="0">
      <selection activeCell="F3" sqref="F3:G3"/>
    </sheetView>
  </sheetViews>
  <sheetFormatPr defaultRowHeight="15" x14ac:dyDescent="0.25"/>
  <sheetData>
    <row r="1" spans="1:10" ht="42.75" customHeight="1" x14ac:dyDescent="0.25">
      <c r="A1" s="208" t="s">
        <v>341</v>
      </c>
      <c r="B1" s="326"/>
      <c r="C1" s="326"/>
      <c r="D1" s="326"/>
      <c r="E1" s="326"/>
      <c r="F1" s="326"/>
      <c r="G1" s="326"/>
      <c r="H1" s="326"/>
      <c r="I1" s="326"/>
      <c r="J1" s="326"/>
    </row>
    <row r="3" spans="1:10" x14ac:dyDescent="0.25">
      <c r="A3" s="210" t="s">
        <v>340</v>
      </c>
      <c r="B3" s="210"/>
      <c r="C3" s="223"/>
      <c r="D3" s="223"/>
      <c r="E3" s="84" t="s">
        <v>339</v>
      </c>
      <c r="F3" s="223"/>
      <c r="G3" s="223"/>
    </row>
    <row r="4" spans="1:10" x14ac:dyDescent="0.25">
      <c r="A4" s="75"/>
      <c r="B4" s="75"/>
      <c r="C4" s="73"/>
    </row>
    <row r="5" spans="1:10" x14ac:dyDescent="0.25">
      <c r="A5" s="210" t="s">
        <v>204</v>
      </c>
      <c r="B5" s="210"/>
      <c r="C5" s="223"/>
      <c r="D5" s="223"/>
      <c r="E5" s="223"/>
      <c r="F5" s="223"/>
      <c r="G5" s="223"/>
    </row>
    <row r="6" spans="1:10" x14ac:dyDescent="0.25">
      <c r="A6" s="75"/>
      <c r="B6" s="75"/>
      <c r="C6" s="73"/>
    </row>
    <row r="7" spans="1:10" x14ac:dyDescent="0.25">
      <c r="A7" s="210" t="s">
        <v>205</v>
      </c>
      <c r="B7" s="210"/>
      <c r="C7" s="223"/>
      <c r="D7" s="223"/>
      <c r="E7" s="223"/>
      <c r="F7" s="223"/>
      <c r="G7" s="223"/>
    </row>
    <row r="9" spans="1:10" ht="54" customHeight="1" x14ac:dyDescent="0.25">
      <c r="A9" s="207" t="s">
        <v>206</v>
      </c>
      <c r="B9" s="207"/>
      <c r="C9" s="207"/>
      <c r="D9" s="207"/>
      <c r="E9" s="207"/>
      <c r="F9" s="207"/>
      <c r="G9" s="207"/>
      <c r="H9" s="207"/>
      <c r="I9" s="207"/>
      <c r="J9" s="207"/>
    </row>
    <row r="10" spans="1:10" ht="11.25" customHeight="1" x14ac:dyDescent="0.25">
      <c r="A10" s="207"/>
      <c r="B10" s="207"/>
      <c r="C10" s="207"/>
      <c r="D10" s="207"/>
      <c r="E10" s="207"/>
      <c r="F10" s="207"/>
      <c r="G10" s="207"/>
      <c r="H10" s="207"/>
      <c r="I10" s="207"/>
      <c r="J10" s="207"/>
    </row>
    <row r="11" spans="1:10" ht="63.75" customHeight="1" x14ac:dyDescent="0.25">
      <c r="A11" s="207" t="s">
        <v>207</v>
      </c>
      <c r="B11" s="207"/>
      <c r="C11" s="207"/>
      <c r="D11" s="207"/>
      <c r="E11" s="207"/>
      <c r="F11" s="207"/>
      <c r="G11" s="207"/>
      <c r="H11" s="207"/>
      <c r="I11" s="207"/>
      <c r="J11" s="207"/>
    </row>
    <row r="12" spans="1:10" ht="10.5" customHeight="1" x14ac:dyDescent="0.25">
      <c r="A12" s="74"/>
      <c r="B12" s="74"/>
      <c r="C12" s="74"/>
      <c r="D12" s="74"/>
      <c r="E12" s="74"/>
      <c r="F12" s="74"/>
      <c r="G12" s="74"/>
      <c r="H12" s="74"/>
      <c r="I12" s="74"/>
      <c r="J12" s="74"/>
    </row>
    <row r="13" spans="1:10" ht="67.5" customHeight="1" x14ac:dyDescent="0.25">
      <c r="A13" s="207" t="s">
        <v>208</v>
      </c>
      <c r="B13" s="207"/>
      <c r="C13" s="207"/>
      <c r="D13" s="207"/>
      <c r="E13" s="207"/>
      <c r="F13" s="207"/>
      <c r="G13" s="207"/>
      <c r="H13" s="207"/>
      <c r="I13" s="207"/>
      <c r="J13" s="207"/>
    </row>
    <row r="14" spans="1:10" ht="9.75" customHeight="1" x14ac:dyDescent="0.25">
      <c r="A14" s="74"/>
      <c r="B14" s="74"/>
      <c r="C14" s="74"/>
      <c r="D14" s="74"/>
      <c r="E14" s="74"/>
      <c r="F14" s="74"/>
      <c r="G14" s="74"/>
      <c r="H14" s="74"/>
      <c r="I14" s="74"/>
      <c r="J14" s="74"/>
    </row>
    <row r="15" spans="1:10" ht="55.5" customHeight="1" x14ac:dyDescent="0.25">
      <c r="A15" s="207" t="s">
        <v>209</v>
      </c>
      <c r="B15" s="207"/>
      <c r="C15" s="207"/>
      <c r="D15" s="207"/>
      <c r="E15" s="207"/>
      <c r="F15" s="207"/>
      <c r="G15" s="207"/>
      <c r="H15" s="207"/>
      <c r="I15" s="207"/>
      <c r="J15" s="207"/>
    </row>
    <row r="16" spans="1:10" ht="8.25" customHeight="1" x14ac:dyDescent="0.25">
      <c r="A16" s="74"/>
      <c r="B16" s="74"/>
      <c r="C16" s="74"/>
      <c r="D16" s="74"/>
      <c r="E16" s="74"/>
      <c r="F16" s="74"/>
      <c r="G16" s="74"/>
      <c r="H16" s="74"/>
      <c r="I16" s="74"/>
      <c r="J16" s="74"/>
    </row>
    <row r="17" spans="1:10" x14ac:dyDescent="0.25">
      <c r="A17" s="76" t="s">
        <v>210</v>
      </c>
      <c r="B17" s="74"/>
      <c r="C17" s="74"/>
      <c r="D17" s="74"/>
      <c r="E17" s="74"/>
      <c r="F17" s="74"/>
      <c r="G17" s="74"/>
      <c r="H17" s="74"/>
      <c r="I17" s="74"/>
      <c r="J17" s="74"/>
    </row>
    <row r="18" spans="1:10" x14ac:dyDescent="0.25">
      <c r="A18" s="76" t="s">
        <v>211</v>
      </c>
      <c r="B18" s="74"/>
      <c r="C18" s="74"/>
      <c r="D18" s="74"/>
      <c r="E18" s="74"/>
      <c r="F18" s="74"/>
      <c r="G18" s="74"/>
      <c r="H18" s="74"/>
      <c r="I18" s="74"/>
      <c r="J18" s="74"/>
    </row>
    <row r="19" spans="1:10" x14ac:dyDescent="0.25">
      <c r="A19" s="76" t="s">
        <v>212</v>
      </c>
      <c r="B19" s="74"/>
      <c r="C19" s="74"/>
      <c r="D19" s="74"/>
      <c r="E19" s="74"/>
      <c r="F19" s="74"/>
      <c r="G19" s="74"/>
      <c r="H19" s="74"/>
      <c r="I19" s="74"/>
      <c r="J19" s="74"/>
    </row>
    <row r="20" spans="1:10" x14ac:dyDescent="0.25">
      <c r="A20" s="76" t="s">
        <v>213</v>
      </c>
      <c r="B20" s="74"/>
      <c r="C20" s="74"/>
      <c r="D20" s="74"/>
      <c r="E20" s="74"/>
      <c r="F20" s="74"/>
      <c r="G20" s="74"/>
      <c r="H20" s="74"/>
      <c r="I20" s="74"/>
      <c r="J20" s="74"/>
    </row>
    <row r="21" spans="1:10" x14ac:dyDescent="0.25">
      <c r="A21" s="76" t="s">
        <v>214</v>
      </c>
      <c r="B21" s="74"/>
      <c r="C21" s="74"/>
      <c r="D21" s="74"/>
      <c r="E21" s="74"/>
      <c r="F21" s="74"/>
      <c r="G21" s="74"/>
      <c r="H21" s="74"/>
      <c r="I21" s="74"/>
      <c r="J21" s="74"/>
    </row>
    <row r="22" spans="1:10" ht="10.5" customHeight="1" x14ac:dyDescent="0.25">
      <c r="A22" s="74"/>
      <c r="B22" s="74"/>
      <c r="C22" s="74"/>
      <c r="D22" s="74"/>
      <c r="E22" s="74"/>
      <c r="F22" s="74"/>
      <c r="G22" s="74"/>
      <c r="H22" s="74"/>
      <c r="I22" s="74"/>
      <c r="J22" s="74"/>
    </row>
    <row r="23" spans="1:10" ht="34.5" customHeight="1" x14ac:dyDescent="0.25">
      <c r="A23" s="207" t="s">
        <v>215</v>
      </c>
      <c r="B23" s="207"/>
      <c r="C23" s="207"/>
      <c r="D23" s="207"/>
      <c r="E23" s="207"/>
      <c r="F23" s="207"/>
      <c r="G23" s="207"/>
      <c r="H23" s="207"/>
      <c r="I23" s="207"/>
      <c r="J23" s="207"/>
    </row>
    <row r="24" spans="1:10" ht="9.75" customHeight="1" x14ac:dyDescent="0.25">
      <c r="A24" s="74"/>
      <c r="B24" s="74"/>
      <c r="C24" s="74"/>
      <c r="D24" s="74"/>
      <c r="E24" s="74"/>
      <c r="F24" s="74"/>
      <c r="G24" s="74"/>
      <c r="H24" s="74"/>
      <c r="I24" s="74"/>
      <c r="J24" s="74"/>
    </row>
    <row r="25" spans="1:10" ht="51.75" customHeight="1" x14ac:dyDescent="0.25">
      <c r="A25" s="207" t="s">
        <v>216</v>
      </c>
      <c r="B25" s="207"/>
      <c r="C25" s="207"/>
      <c r="D25" s="207"/>
      <c r="E25" s="207"/>
      <c r="F25" s="207"/>
      <c r="G25" s="207"/>
      <c r="H25" s="207"/>
      <c r="I25" s="207"/>
      <c r="J25" s="207"/>
    </row>
    <row r="26" spans="1:10" x14ac:dyDescent="0.25">
      <c r="A26" s="74"/>
      <c r="B26" s="74"/>
      <c r="C26" s="74"/>
      <c r="D26" s="74"/>
      <c r="E26" s="74"/>
      <c r="F26" s="74"/>
      <c r="G26" s="74"/>
      <c r="H26" s="74"/>
      <c r="I26" s="74"/>
      <c r="J26" s="74"/>
    </row>
    <row r="27" spans="1:10" ht="41.25" customHeight="1" x14ac:dyDescent="0.25">
      <c r="A27" s="208" t="s">
        <v>217</v>
      </c>
      <c r="B27" s="208"/>
      <c r="C27" s="208"/>
      <c r="D27" s="208"/>
      <c r="E27" s="208"/>
      <c r="F27" s="208"/>
      <c r="G27" s="208"/>
      <c r="H27" s="208"/>
      <c r="I27" s="208"/>
      <c r="J27" s="208"/>
    </row>
    <row r="28" spans="1:10" x14ac:dyDescent="0.25">
      <c r="A28" s="74"/>
      <c r="B28" s="74"/>
      <c r="C28" s="74"/>
      <c r="D28" s="74"/>
      <c r="E28" s="74"/>
      <c r="F28" s="74"/>
      <c r="G28" s="74"/>
      <c r="H28" s="74"/>
      <c r="I28" s="74"/>
      <c r="J28" s="74"/>
    </row>
    <row r="29" spans="1:10" x14ac:dyDescent="0.25">
      <c r="A29" s="210" t="s">
        <v>203</v>
      </c>
      <c r="B29" s="210"/>
      <c r="C29" s="327">
        <f>C3</f>
        <v>0</v>
      </c>
      <c r="D29" s="327"/>
      <c r="E29" s="327"/>
      <c r="F29" s="327"/>
      <c r="G29" s="327"/>
    </row>
    <row r="30" spans="1:10" x14ac:dyDescent="0.25">
      <c r="A30" s="75"/>
      <c r="B30" s="75"/>
      <c r="C30" s="95"/>
      <c r="D30" s="64"/>
      <c r="E30" s="64"/>
      <c r="F30" s="64"/>
      <c r="G30" s="64"/>
    </row>
    <row r="31" spans="1:10" x14ac:dyDescent="0.25">
      <c r="A31" s="210" t="s">
        <v>204</v>
      </c>
      <c r="B31" s="210"/>
      <c r="C31" s="321">
        <f>C5</f>
        <v>0</v>
      </c>
      <c r="D31" s="321"/>
      <c r="E31" s="321"/>
      <c r="F31" s="321"/>
      <c r="G31" s="321"/>
    </row>
    <row r="33" spans="1:10" ht="63" customHeight="1" x14ac:dyDescent="0.25">
      <c r="A33" s="207" t="s">
        <v>218</v>
      </c>
      <c r="B33" s="207"/>
      <c r="C33" s="207"/>
      <c r="D33" s="207"/>
      <c r="E33" s="207"/>
      <c r="F33" s="207"/>
      <c r="G33" s="207"/>
      <c r="H33" s="207"/>
      <c r="I33" s="207"/>
      <c r="J33" s="207"/>
    </row>
    <row r="35" spans="1:10" ht="30.75" customHeight="1" x14ac:dyDescent="0.25">
      <c r="A35" s="328" t="s">
        <v>219</v>
      </c>
      <c r="B35" s="328"/>
      <c r="C35" s="328" t="s">
        <v>220</v>
      </c>
      <c r="D35" s="328"/>
      <c r="E35" s="328"/>
      <c r="F35" s="328"/>
      <c r="G35" s="328" t="s">
        <v>221</v>
      </c>
      <c r="H35" s="328"/>
      <c r="I35" s="328"/>
      <c r="J35" s="328"/>
    </row>
    <row r="36" spans="1:10" ht="24" customHeight="1" x14ac:dyDescent="0.25">
      <c r="A36" s="217"/>
      <c r="B36" s="217"/>
      <c r="C36" s="217"/>
      <c r="D36" s="217"/>
      <c r="E36" s="217"/>
      <c r="F36" s="217"/>
      <c r="G36" s="217"/>
      <c r="H36" s="217"/>
      <c r="I36" s="217"/>
      <c r="J36" s="217"/>
    </row>
    <row r="37" spans="1:10" s="119" customFormat="1" ht="24" customHeight="1" x14ac:dyDescent="0.25">
      <c r="A37" s="247"/>
      <c r="B37" s="248"/>
      <c r="C37" s="247"/>
      <c r="D37" s="329"/>
      <c r="E37" s="329"/>
      <c r="F37" s="248"/>
      <c r="G37" s="247"/>
      <c r="H37" s="329"/>
      <c r="I37" s="329"/>
      <c r="J37" s="248"/>
    </row>
    <row r="38" spans="1:10" s="119" customFormat="1" ht="24" customHeight="1" x14ac:dyDescent="0.25">
      <c r="A38" s="247"/>
      <c r="B38" s="248"/>
      <c r="C38" s="247"/>
      <c r="D38" s="329"/>
      <c r="E38" s="329"/>
      <c r="F38" s="248"/>
      <c r="G38" s="247"/>
      <c r="H38" s="329"/>
      <c r="I38" s="329"/>
      <c r="J38" s="248"/>
    </row>
    <row r="39" spans="1:10" s="119" customFormat="1" ht="24" customHeight="1" x14ac:dyDescent="0.25">
      <c r="A39" s="247"/>
      <c r="B39" s="248"/>
      <c r="C39" s="247"/>
      <c r="D39" s="329"/>
      <c r="E39" s="329"/>
      <c r="F39" s="248"/>
      <c r="G39" s="247"/>
      <c r="H39" s="329"/>
      <c r="I39" s="329"/>
      <c r="J39" s="248"/>
    </row>
    <row r="40" spans="1:10" s="119" customFormat="1" ht="24" customHeight="1" x14ac:dyDescent="0.25">
      <c r="A40" s="247"/>
      <c r="B40" s="248"/>
      <c r="C40" s="247"/>
      <c r="D40" s="329"/>
      <c r="E40" s="329"/>
      <c r="F40" s="248"/>
      <c r="G40" s="247"/>
      <c r="H40" s="329"/>
      <c r="I40" s="329"/>
      <c r="J40" s="248"/>
    </row>
    <row r="41" spans="1:10" s="119" customFormat="1" ht="24" customHeight="1" x14ac:dyDescent="0.25">
      <c r="A41" s="247"/>
      <c r="B41" s="248"/>
      <c r="C41" s="247"/>
      <c r="D41" s="329"/>
      <c r="E41" s="329"/>
      <c r="F41" s="248"/>
      <c r="G41" s="247"/>
      <c r="H41" s="329"/>
      <c r="I41" s="329"/>
      <c r="J41" s="248"/>
    </row>
    <row r="42" spans="1:10" s="119" customFormat="1" ht="24" customHeight="1" x14ac:dyDescent="0.25">
      <c r="A42" s="247"/>
      <c r="B42" s="248"/>
      <c r="C42" s="247"/>
      <c r="D42" s="329"/>
      <c r="E42" s="329"/>
      <c r="F42" s="248"/>
      <c r="G42" s="247"/>
      <c r="H42" s="329"/>
      <c r="I42" s="329"/>
      <c r="J42" s="248"/>
    </row>
    <row r="43" spans="1:10" s="119" customFormat="1" ht="24" customHeight="1" x14ac:dyDescent="0.25">
      <c r="A43" s="247"/>
      <c r="B43" s="248"/>
      <c r="C43" s="247"/>
      <c r="D43" s="329"/>
      <c r="E43" s="329"/>
      <c r="F43" s="248"/>
      <c r="G43" s="247"/>
      <c r="H43" s="329"/>
      <c r="I43" s="329"/>
      <c r="J43" s="248"/>
    </row>
    <row r="44" spans="1:10" s="119" customFormat="1" ht="24" customHeight="1" x14ac:dyDescent="0.25">
      <c r="A44" s="247"/>
      <c r="B44" s="248"/>
      <c r="C44" s="247"/>
      <c r="D44" s="329"/>
      <c r="E44" s="329"/>
      <c r="F44" s="248"/>
      <c r="G44" s="247"/>
      <c r="H44" s="329"/>
      <c r="I44" s="329"/>
      <c r="J44" s="248"/>
    </row>
    <row r="45" spans="1:10" s="119" customFormat="1" ht="24" customHeight="1" x14ac:dyDescent="0.25">
      <c r="A45" s="247"/>
      <c r="B45" s="248"/>
      <c r="C45" s="247"/>
      <c r="D45" s="329"/>
      <c r="E45" s="329"/>
      <c r="F45" s="248"/>
      <c r="G45" s="247"/>
      <c r="H45" s="329"/>
      <c r="I45" s="329"/>
      <c r="J45" s="248"/>
    </row>
    <row r="46" spans="1:10" s="119" customFormat="1" ht="24" customHeight="1" x14ac:dyDescent="0.25">
      <c r="A46" s="247"/>
      <c r="B46" s="248"/>
      <c r="C46" s="247"/>
      <c r="D46" s="329"/>
      <c r="E46" s="329"/>
      <c r="F46" s="248"/>
      <c r="G46" s="247"/>
      <c r="H46" s="329"/>
      <c r="I46" s="329"/>
      <c r="J46" s="248"/>
    </row>
    <row r="47" spans="1:10" s="119" customFormat="1" ht="24" customHeight="1" x14ac:dyDescent="0.25">
      <c r="A47" s="247"/>
      <c r="B47" s="248"/>
      <c r="C47" s="247"/>
      <c r="D47" s="329"/>
      <c r="E47" s="329"/>
      <c r="F47" s="248"/>
      <c r="G47" s="247"/>
      <c r="H47" s="329"/>
      <c r="I47" s="329"/>
      <c r="J47" s="248"/>
    </row>
    <row r="48" spans="1:10" s="119" customFormat="1" ht="24" customHeight="1" x14ac:dyDescent="0.25">
      <c r="A48" s="247"/>
      <c r="B48" s="248"/>
      <c r="C48" s="247"/>
      <c r="D48" s="329"/>
      <c r="E48" s="329"/>
      <c r="F48" s="248"/>
      <c r="G48" s="247"/>
      <c r="H48" s="329"/>
      <c r="I48" s="329"/>
      <c r="J48" s="248"/>
    </row>
    <row r="49" spans="1:10" s="119" customFormat="1" ht="24" customHeight="1" x14ac:dyDescent="0.25">
      <c r="A49" s="247"/>
      <c r="B49" s="248"/>
      <c r="C49" s="247"/>
      <c r="D49" s="329"/>
      <c r="E49" s="329"/>
      <c r="F49" s="248"/>
      <c r="G49" s="247"/>
      <c r="H49" s="329"/>
      <c r="I49" s="329"/>
      <c r="J49" s="248"/>
    </row>
    <row r="50" spans="1:10" s="119" customFormat="1" ht="24" customHeight="1" x14ac:dyDescent="0.25">
      <c r="A50" s="247"/>
      <c r="B50" s="248"/>
      <c r="C50" s="247"/>
      <c r="D50" s="329"/>
      <c r="E50" s="329"/>
      <c r="F50" s="248"/>
      <c r="G50" s="247"/>
      <c r="H50" s="329"/>
      <c r="I50" s="329"/>
      <c r="J50" s="248"/>
    </row>
    <row r="51" spans="1:10" ht="24" customHeight="1" x14ac:dyDescent="0.25">
      <c r="A51" s="217"/>
      <c r="B51" s="217"/>
      <c r="C51" s="217"/>
      <c r="D51" s="217"/>
      <c r="E51" s="217"/>
      <c r="F51" s="217"/>
      <c r="G51" s="217"/>
      <c r="H51" s="217"/>
      <c r="I51" s="217"/>
      <c r="J51" s="217"/>
    </row>
    <row r="52" spans="1:10" ht="24" customHeight="1" x14ac:dyDescent="0.25">
      <c r="A52" s="217"/>
      <c r="B52" s="217"/>
      <c r="C52" s="217"/>
      <c r="D52" s="217"/>
      <c r="E52" s="217"/>
      <c r="F52" s="217"/>
      <c r="G52" s="217"/>
      <c r="H52" s="217"/>
      <c r="I52" s="217"/>
      <c r="J52" s="217"/>
    </row>
    <row r="53" spans="1:10" ht="24" customHeight="1" x14ac:dyDescent="0.25">
      <c r="A53" s="217"/>
      <c r="B53" s="217"/>
      <c r="C53" s="217"/>
      <c r="D53" s="217"/>
      <c r="E53" s="217"/>
      <c r="F53" s="217"/>
      <c r="G53" s="217"/>
      <c r="H53" s="217"/>
      <c r="I53" s="217"/>
      <c r="J53" s="217"/>
    </row>
    <row r="54" spans="1:10" ht="24" customHeight="1" x14ac:dyDescent="0.25">
      <c r="A54" s="217"/>
      <c r="B54" s="217"/>
      <c r="C54" s="217"/>
      <c r="D54" s="217"/>
      <c r="E54" s="217"/>
      <c r="F54" s="217"/>
      <c r="G54" s="217"/>
      <c r="H54" s="217"/>
      <c r="I54" s="217"/>
      <c r="J54" s="217"/>
    </row>
    <row r="55" spans="1:10" ht="24" customHeight="1" x14ac:dyDescent="0.25">
      <c r="A55" s="217"/>
      <c r="B55" s="217"/>
      <c r="C55" s="217"/>
      <c r="D55" s="217"/>
      <c r="E55" s="217"/>
      <c r="F55" s="217"/>
      <c r="G55" s="217"/>
      <c r="H55" s="217"/>
      <c r="I55" s="217"/>
      <c r="J55" s="217"/>
    </row>
    <row r="56" spans="1:10" ht="24" customHeight="1" x14ac:dyDescent="0.25">
      <c r="A56" s="217"/>
      <c r="B56" s="217"/>
      <c r="C56" s="217"/>
      <c r="D56" s="217"/>
      <c r="E56" s="217"/>
      <c r="F56" s="217"/>
      <c r="G56" s="217"/>
      <c r="H56" s="217"/>
      <c r="I56" s="217"/>
      <c r="J56" s="217"/>
    </row>
    <row r="57" spans="1:10" ht="24" customHeight="1" x14ac:dyDescent="0.25">
      <c r="A57" s="217"/>
      <c r="B57" s="217"/>
      <c r="C57" s="217"/>
      <c r="D57" s="217"/>
      <c r="E57" s="217"/>
      <c r="F57" s="217"/>
      <c r="G57" s="217"/>
      <c r="H57" s="217"/>
      <c r="I57" s="217"/>
      <c r="J57" s="217"/>
    </row>
    <row r="58" spans="1:10" ht="24" customHeight="1" x14ac:dyDescent="0.25">
      <c r="A58" s="217"/>
      <c r="B58" s="217"/>
      <c r="C58" s="217"/>
      <c r="D58" s="217"/>
      <c r="E58" s="217"/>
      <c r="F58" s="217"/>
      <c r="G58" s="217"/>
      <c r="H58" s="217"/>
      <c r="I58" s="217"/>
      <c r="J58" s="217"/>
    </row>
    <row r="59" spans="1:10" ht="24" customHeight="1" x14ac:dyDescent="0.25">
      <c r="A59" s="217"/>
      <c r="B59" s="217"/>
      <c r="C59" s="217"/>
      <c r="D59" s="217"/>
      <c r="E59" s="217"/>
      <c r="F59" s="217"/>
      <c r="G59" s="217"/>
      <c r="H59" s="217"/>
      <c r="I59" s="217"/>
      <c r="J59" s="217"/>
    </row>
    <row r="60" spans="1:10" ht="24" customHeight="1" x14ac:dyDescent="0.25">
      <c r="A60" s="217"/>
      <c r="B60" s="217"/>
      <c r="C60" s="217"/>
      <c r="D60" s="217"/>
      <c r="E60" s="217"/>
      <c r="F60" s="217"/>
      <c r="G60" s="217"/>
      <c r="H60" s="217"/>
      <c r="I60" s="217"/>
      <c r="J60" s="217"/>
    </row>
    <row r="61" spans="1:10" ht="24" customHeight="1" x14ac:dyDescent="0.25">
      <c r="A61" s="217"/>
      <c r="B61" s="217"/>
      <c r="C61" s="217"/>
      <c r="D61" s="217"/>
      <c r="E61" s="217"/>
      <c r="F61" s="217"/>
      <c r="G61" s="217"/>
      <c r="H61" s="217"/>
      <c r="I61" s="217"/>
      <c r="J61" s="217"/>
    </row>
    <row r="62" spans="1:10" ht="24" customHeight="1" x14ac:dyDescent="0.25">
      <c r="A62" s="217"/>
      <c r="B62" s="217"/>
      <c r="C62" s="217"/>
      <c r="D62" s="217"/>
      <c r="E62" s="217"/>
      <c r="F62" s="217"/>
      <c r="G62" s="217"/>
      <c r="H62" s="217"/>
      <c r="I62" s="217"/>
      <c r="J62" s="217"/>
    </row>
    <row r="63" spans="1:10" ht="24" customHeight="1" x14ac:dyDescent="0.25">
      <c r="A63" s="217"/>
      <c r="B63" s="217"/>
      <c r="C63" s="217"/>
      <c r="D63" s="217"/>
      <c r="E63" s="217"/>
      <c r="F63" s="217"/>
      <c r="G63" s="217"/>
      <c r="H63" s="217"/>
      <c r="I63" s="217"/>
      <c r="J63" s="217"/>
    </row>
    <row r="64" spans="1:10" ht="24" customHeight="1" x14ac:dyDescent="0.25">
      <c r="A64" s="217"/>
      <c r="B64" s="217"/>
      <c r="C64" s="217"/>
      <c r="D64" s="217"/>
      <c r="E64" s="217"/>
      <c r="F64" s="217"/>
      <c r="G64" s="217"/>
      <c r="H64" s="217"/>
      <c r="I64" s="217"/>
      <c r="J64" s="217"/>
    </row>
    <row r="65" spans="1:10" ht="24" customHeight="1" x14ac:dyDescent="0.25">
      <c r="A65" s="217"/>
      <c r="B65" s="217"/>
      <c r="C65" s="217"/>
      <c r="D65" s="217"/>
      <c r="E65" s="217"/>
      <c r="F65" s="217"/>
      <c r="G65" s="217"/>
      <c r="H65" s="217"/>
      <c r="I65" s="217"/>
      <c r="J65" s="217"/>
    </row>
    <row r="66" spans="1:10" ht="40.5" customHeight="1" x14ac:dyDescent="0.25">
      <c r="A66" s="208" t="s">
        <v>222</v>
      </c>
      <c r="B66" s="209"/>
      <c r="C66" s="209"/>
      <c r="D66" s="209"/>
      <c r="E66" s="209"/>
      <c r="F66" s="209"/>
      <c r="G66" s="209"/>
      <c r="H66" s="209"/>
      <c r="I66" s="209"/>
      <c r="J66" s="209"/>
    </row>
    <row r="68" spans="1:10" x14ac:dyDescent="0.25">
      <c r="A68" s="210" t="s">
        <v>203</v>
      </c>
      <c r="B68" s="210"/>
      <c r="C68" s="321" t="str">
        <f>C3&amp;"/"&amp;F3</f>
        <v>/</v>
      </c>
      <c r="D68" s="321"/>
      <c r="E68" s="321"/>
      <c r="F68" s="321"/>
      <c r="G68" s="321"/>
    </row>
    <row r="69" spans="1:10" x14ac:dyDescent="0.25">
      <c r="A69" s="75"/>
      <c r="B69" s="75"/>
      <c r="C69" s="73"/>
    </row>
    <row r="70" spans="1:10" x14ac:dyDescent="0.25">
      <c r="A70" s="210" t="s">
        <v>204</v>
      </c>
      <c r="B70" s="210"/>
      <c r="C70" s="321">
        <f>C5</f>
        <v>0</v>
      </c>
      <c r="D70" s="321"/>
      <c r="E70" s="321"/>
      <c r="F70" s="321"/>
      <c r="G70" s="321"/>
    </row>
    <row r="72" spans="1:10" ht="49.5" customHeight="1" x14ac:dyDescent="0.25">
      <c r="A72" s="207" t="s">
        <v>223</v>
      </c>
      <c r="B72" s="207"/>
      <c r="C72" s="207"/>
      <c r="D72" s="207"/>
      <c r="E72" s="207"/>
      <c r="F72" s="207"/>
      <c r="G72" s="207"/>
      <c r="H72" s="207"/>
      <c r="I72" s="207"/>
      <c r="J72" s="207"/>
    </row>
    <row r="73" spans="1:10" ht="45.75" customHeight="1" x14ac:dyDescent="0.25">
      <c r="A73" s="325" t="s">
        <v>224</v>
      </c>
      <c r="B73" s="325"/>
      <c r="C73" s="325" t="s">
        <v>225</v>
      </c>
      <c r="D73" s="325"/>
      <c r="E73" s="325" t="s">
        <v>226</v>
      </c>
      <c r="F73" s="325"/>
      <c r="G73" s="325" t="s">
        <v>227</v>
      </c>
      <c r="H73" s="325"/>
      <c r="I73" s="325" t="s">
        <v>221</v>
      </c>
      <c r="J73" s="325"/>
    </row>
    <row r="74" spans="1:10" ht="115.5" customHeight="1" x14ac:dyDescent="0.25">
      <c r="A74" s="322" t="s">
        <v>228</v>
      </c>
      <c r="B74" s="322"/>
      <c r="C74" s="291" t="s">
        <v>232</v>
      </c>
      <c r="D74" s="291"/>
      <c r="E74" s="291" t="s">
        <v>236</v>
      </c>
      <c r="F74" s="291"/>
      <c r="G74" s="291" t="s">
        <v>237</v>
      </c>
      <c r="H74" s="291"/>
      <c r="I74" s="323"/>
      <c r="J74" s="323"/>
    </row>
    <row r="75" spans="1:10" ht="115.5" customHeight="1" x14ac:dyDescent="0.25">
      <c r="A75" s="322" t="s">
        <v>229</v>
      </c>
      <c r="B75" s="322"/>
      <c r="C75" s="291" t="s">
        <v>233</v>
      </c>
      <c r="D75" s="291"/>
      <c r="E75" s="291" t="s">
        <v>238</v>
      </c>
      <c r="F75" s="291"/>
      <c r="G75" s="291" t="s">
        <v>239</v>
      </c>
      <c r="H75" s="291"/>
      <c r="I75" s="323"/>
      <c r="J75" s="323"/>
    </row>
    <row r="76" spans="1:10" ht="115.5" customHeight="1" x14ac:dyDescent="0.25">
      <c r="A76" s="322" t="s">
        <v>230</v>
      </c>
      <c r="B76" s="322"/>
      <c r="C76" s="291" t="s">
        <v>234</v>
      </c>
      <c r="D76" s="291"/>
      <c r="E76" s="291" t="s">
        <v>240</v>
      </c>
      <c r="F76" s="291"/>
      <c r="G76" s="291" t="s">
        <v>241</v>
      </c>
      <c r="H76" s="291"/>
      <c r="I76" s="323"/>
      <c r="J76" s="323"/>
    </row>
    <row r="77" spans="1:10" ht="115.5" customHeight="1" x14ac:dyDescent="0.25">
      <c r="A77" s="322" t="s">
        <v>231</v>
      </c>
      <c r="B77" s="322"/>
      <c r="C77" s="324" t="s">
        <v>235</v>
      </c>
      <c r="D77" s="324"/>
      <c r="E77" s="291" t="s">
        <v>242</v>
      </c>
      <c r="F77" s="291"/>
      <c r="G77" s="291" t="s">
        <v>243</v>
      </c>
      <c r="H77" s="291"/>
      <c r="I77" s="323"/>
      <c r="J77" s="323"/>
    </row>
    <row r="79" spans="1:10" ht="44.25" customHeight="1" x14ac:dyDescent="0.25">
      <c r="A79" s="208" t="s">
        <v>244</v>
      </c>
      <c r="B79" s="209"/>
      <c r="C79" s="209"/>
      <c r="D79" s="209"/>
      <c r="E79" s="209"/>
      <c r="F79" s="209"/>
      <c r="G79" s="209"/>
      <c r="H79" s="209"/>
      <c r="I79" s="209"/>
      <c r="J79" s="209"/>
    </row>
    <row r="80" spans="1:10" ht="10.5" customHeight="1" x14ac:dyDescent="0.25"/>
    <row r="81" spans="1:10" x14ac:dyDescent="0.25">
      <c r="A81" s="210" t="s">
        <v>203</v>
      </c>
      <c r="B81" s="210"/>
      <c r="C81" s="321" t="str">
        <f>C3&amp;"/"&amp;F3</f>
        <v>/</v>
      </c>
      <c r="D81" s="321"/>
      <c r="E81" s="321"/>
      <c r="F81" s="321"/>
      <c r="G81" s="321"/>
    </row>
    <row r="82" spans="1:10" x14ac:dyDescent="0.25">
      <c r="A82" s="210" t="s">
        <v>204</v>
      </c>
      <c r="B82" s="210"/>
      <c r="C82" s="321">
        <f>C5</f>
        <v>0</v>
      </c>
      <c r="D82" s="321"/>
      <c r="E82" s="321"/>
      <c r="F82" s="321"/>
      <c r="G82" s="321"/>
    </row>
    <row r="83" spans="1:10" x14ac:dyDescent="0.25">
      <c r="A83" s="210" t="s">
        <v>205</v>
      </c>
      <c r="B83" s="210"/>
      <c r="C83" s="321">
        <f>C7</f>
        <v>0</v>
      </c>
      <c r="D83" s="321"/>
      <c r="E83" s="321"/>
      <c r="F83" s="321"/>
      <c r="G83" s="321"/>
    </row>
    <row r="84" spans="1:10" ht="10.5" customHeight="1" x14ac:dyDescent="0.25"/>
    <row r="85" spans="1:10" x14ac:dyDescent="0.25">
      <c r="A85" s="316" t="s">
        <v>245</v>
      </c>
      <c r="B85" s="316"/>
      <c r="C85" s="316" t="s">
        <v>246</v>
      </c>
      <c r="D85" s="316"/>
      <c r="E85" s="316"/>
      <c r="F85" s="316"/>
      <c r="G85" s="316"/>
      <c r="H85" s="316"/>
      <c r="I85" s="316"/>
      <c r="J85" s="316"/>
    </row>
    <row r="86" spans="1:10" x14ac:dyDescent="0.25">
      <c r="A86" s="317" t="s">
        <v>252</v>
      </c>
      <c r="B86" s="317"/>
      <c r="C86" s="101"/>
      <c r="D86" s="318" t="s">
        <v>247</v>
      </c>
      <c r="E86" s="318"/>
      <c r="F86" s="318"/>
      <c r="G86" s="318"/>
      <c r="H86" s="318"/>
      <c r="I86" s="318"/>
      <c r="J86" s="318"/>
    </row>
    <row r="87" spans="1:10" s="78" customFormat="1" ht="39.75" customHeight="1" x14ac:dyDescent="0.25">
      <c r="A87" s="317"/>
      <c r="B87" s="317"/>
      <c r="C87" s="101"/>
      <c r="D87" s="319" t="s">
        <v>248</v>
      </c>
      <c r="E87" s="319"/>
      <c r="F87" s="319"/>
      <c r="G87" s="319"/>
      <c r="H87" s="319"/>
      <c r="I87" s="319"/>
      <c r="J87" s="319"/>
    </row>
    <row r="88" spans="1:10" ht="32.25" customHeight="1" x14ac:dyDescent="0.25">
      <c r="A88" s="317"/>
      <c r="B88" s="317"/>
      <c r="C88" s="101"/>
      <c r="D88" s="319" t="s">
        <v>249</v>
      </c>
      <c r="E88" s="319"/>
      <c r="F88" s="319"/>
      <c r="G88" s="319"/>
      <c r="H88" s="319"/>
      <c r="I88" s="319"/>
      <c r="J88" s="319"/>
    </row>
    <row r="89" spans="1:10" x14ac:dyDescent="0.25">
      <c r="A89" s="317"/>
      <c r="B89" s="317"/>
      <c r="C89" s="101"/>
      <c r="D89" s="320" t="s">
        <v>250</v>
      </c>
      <c r="E89" s="320"/>
      <c r="F89" s="320"/>
      <c r="G89" s="320"/>
      <c r="H89" s="320"/>
      <c r="I89" s="320"/>
      <c r="J89" s="320"/>
    </row>
    <row r="90" spans="1:10" x14ac:dyDescent="0.25">
      <c r="A90" s="317"/>
      <c r="B90" s="317"/>
      <c r="C90" s="312" t="s">
        <v>251</v>
      </c>
      <c r="D90" s="312"/>
      <c r="E90" s="313"/>
      <c r="F90" s="314"/>
      <c r="G90" s="314"/>
      <c r="H90" s="314"/>
      <c r="I90" s="314"/>
      <c r="J90" s="315"/>
    </row>
    <row r="91" spans="1:10" ht="28.5" customHeight="1" x14ac:dyDescent="0.25">
      <c r="A91" s="317" t="s">
        <v>257</v>
      </c>
      <c r="B91" s="317"/>
      <c r="C91" s="101"/>
      <c r="D91" s="319" t="s">
        <v>253</v>
      </c>
      <c r="E91" s="319"/>
      <c r="F91" s="319"/>
      <c r="G91" s="319"/>
      <c r="H91" s="319"/>
      <c r="I91" s="319"/>
      <c r="J91" s="319"/>
    </row>
    <row r="92" spans="1:10" x14ac:dyDescent="0.25">
      <c r="A92" s="317"/>
      <c r="B92" s="317"/>
      <c r="C92" s="101"/>
      <c r="D92" s="319" t="s">
        <v>254</v>
      </c>
      <c r="E92" s="319"/>
      <c r="F92" s="319"/>
      <c r="G92" s="319"/>
      <c r="H92" s="319"/>
      <c r="I92" s="319"/>
      <c r="J92" s="319"/>
    </row>
    <row r="93" spans="1:10" ht="27.75" customHeight="1" x14ac:dyDescent="0.25">
      <c r="A93" s="317"/>
      <c r="B93" s="317"/>
      <c r="C93" s="101"/>
      <c r="D93" s="319" t="s">
        <v>255</v>
      </c>
      <c r="E93" s="319"/>
      <c r="F93" s="319"/>
      <c r="G93" s="319"/>
      <c r="H93" s="319"/>
      <c r="I93" s="319"/>
      <c r="J93" s="319"/>
    </row>
    <row r="94" spans="1:10" ht="28.5" customHeight="1" x14ac:dyDescent="0.25">
      <c r="A94" s="317"/>
      <c r="B94" s="317"/>
      <c r="C94" s="101"/>
      <c r="D94" s="319" t="s">
        <v>256</v>
      </c>
      <c r="E94" s="319"/>
      <c r="F94" s="319"/>
      <c r="G94" s="319"/>
      <c r="H94" s="319"/>
      <c r="I94" s="319"/>
      <c r="J94" s="319"/>
    </row>
    <row r="95" spans="1:10" x14ac:dyDescent="0.25">
      <c r="A95" s="317"/>
      <c r="B95" s="317"/>
      <c r="C95" s="312" t="s">
        <v>251</v>
      </c>
      <c r="D95" s="312"/>
      <c r="E95" s="313"/>
      <c r="F95" s="314"/>
      <c r="G95" s="314"/>
      <c r="H95" s="314"/>
      <c r="I95" s="314"/>
      <c r="J95" s="315"/>
    </row>
    <row r="96" spans="1:10" x14ac:dyDescent="0.25">
      <c r="A96" s="317" t="s">
        <v>258</v>
      </c>
      <c r="B96" s="317"/>
      <c r="C96" s="101"/>
      <c r="D96" s="318" t="s">
        <v>259</v>
      </c>
      <c r="E96" s="318"/>
      <c r="F96" s="318"/>
      <c r="G96" s="318"/>
      <c r="H96" s="318"/>
      <c r="I96" s="318"/>
      <c r="J96" s="318"/>
    </row>
    <row r="97" spans="1:10" ht="27.75" customHeight="1" x14ac:dyDescent="0.25">
      <c r="A97" s="317"/>
      <c r="B97" s="317"/>
      <c r="C97" s="101"/>
      <c r="D97" s="319" t="s">
        <v>260</v>
      </c>
      <c r="E97" s="319"/>
      <c r="F97" s="319"/>
      <c r="G97" s="319"/>
      <c r="H97" s="319"/>
      <c r="I97" s="319"/>
      <c r="J97" s="319"/>
    </row>
    <row r="98" spans="1:10" ht="15.75" customHeight="1" x14ac:dyDescent="0.25">
      <c r="A98" s="317"/>
      <c r="B98" s="317"/>
      <c r="C98" s="101"/>
      <c r="D98" s="319" t="s">
        <v>261</v>
      </c>
      <c r="E98" s="319"/>
      <c r="F98" s="319"/>
      <c r="G98" s="319"/>
      <c r="H98" s="319"/>
      <c r="I98" s="319"/>
      <c r="J98" s="319"/>
    </row>
    <row r="99" spans="1:10" ht="24" customHeight="1" x14ac:dyDescent="0.25">
      <c r="A99" s="317"/>
      <c r="B99" s="317"/>
      <c r="C99" s="101"/>
      <c r="D99" s="319" t="s">
        <v>262</v>
      </c>
      <c r="E99" s="319"/>
      <c r="F99" s="319"/>
      <c r="G99" s="319"/>
      <c r="H99" s="319"/>
      <c r="I99" s="319"/>
      <c r="J99" s="319"/>
    </row>
    <row r="100" spans="1:10" ht="35.25" customHeight="1" x14ac:dyDescent="0.25">
      <c r="A100" s="317"/>
      <c r="B100" s="317"/>
      <c r="C100" s="101"/>
      <c r="D100" s="319" t="s">
        <v>263</v>
      </c>
      <c r="E100" s="319"/>
      <c r="F100" s="319"/>
      <c r="G100" s="319"/>
      <c r="H100" s="319"/>
      <c r="I100" s="319"/>
      <c r="J100" s="319"/>
    </row>
    <row r="101" spans="1:10" x14ac:dyDescent="0.25">
      <c r="A101" s="317"/>
      <c r="B101" s="317"/>
      <c r="C101" s="312" t="s">
        <v>251</v>
      </c>
      <c r="D101" s="312"/>
      <c r="E101" s="313"/>
      <c r="F101" s="314"/>
      <c r="G101" s="314"/>
      <c r="H101" s="314"/>
      <c r="I101" s="314"/>
      <c r="J101" s="315"/>
    </row>
    <row r="104" spans="1:10" x14ac:dyDescent="0.25">
      <c r="A104" s="96"/>
      <c r="B104" s="310" t="s">
        <v>264</v>
      </c>
      <c r="C104" s="310"/>
      <c r="D104" s="310"/>
      <c r="E104" s="310"/>
      <c r="F104" s="310"/>
      <c r="G104" s="310"/>
      <c r="H104" s="310"/>
      <c r="I104" s="310"/>
      <c r="J104" s="310"/>
    </row>
    <row r="105" spans="1:10" x14ac:dyDescent="0.25">
      <c r="B105" s="80"/>
      <c r="C105" s="80"/>
      <c r="D105" s="80"/>
      <c r="E105" s="80"/>
      <c r="F105" s="80"/>
      <c r="G105" s="80"/>
      <c r="H105" s="80"/>
      <c r="I105" s="80"/>
      <c r="J105" s="80"/>
    </row>
    <row r="106" spans="1:10" x14ac:dyDescent="0.25">
      <c r="A106" s="96"/>
      <c r="B106" s="311" t="s">
        <v>265</v>
      </c>
      <c r="C106" s="310"/>
      <c r="D106" s="310"/>
      <c r="E106" s="310"/>
      <c r="F106" s="310"/>
      <c r="G106" s="310"/>
      <c r="H106" s="310"/>
      <c r="I106" s="310"/>
      <c r="J106" s="310"/>
    </row>
    <row r="108" spans="1:10" x14ac:dyDescent="0.25">
      <c r="A108" s="187" t="s">
        <v>266</v>
      </c>
      <c r="B108" s="187"/>
      <c r="C108" s="187"/>
      <c r="D108" s="268"/>
      <c r="E108" s="268"/>
      <c r="F108" s="268"/>
      <c r="H108" t="s">
        <v>267</v>
      </c>
      <c r="I108" s="269"/>
      <c r="J108" s="269"/>
    </row>
    <row r="110" spans="1:10" x14ac:dyDescent="0.25">
      <c r="A110" s="187" t="s">
        <v>268</v>
      </c>
      <c r="B110" s="187"/>
      <c r="C110" s="187"/>
      <c r="D110" s="268"/>
      <c r="E110" s="268"/>
      <c r="F110" s="268"/>
      <c r="H110" t="s">
        <v>267</v>
      </c>
      <c r="I110" s="269"/>
      <c r="J110" s="269"/>
    </row>
    <row r="115" spans="1:10" ht="40.5" customHeight="1" x14ac:dyDescent="0.25">
      <c r="A115" s="208" t="s">
        <v>293</v>
      </c>
      <c r="B115" s="209"/>
      <c r="C115" s="209"/>
      <c r="D115" s="209"/>
      <c r="E115" s="209"/>
      <c r="F115" s="209"/>
      <c r="G115" s="209"/>
      <c r="H115" s="209"/>
      <c r="I115" s="209"/>
      <c r="J115" s="209"/>
    </row>
    <row r="117" spans="1:10" x14ac:dyDescent="0.25">
      <c r="A117" s="293" t="s">
        <v>269</v>
      </c>
      <c r="B117" s="293"/>
      <c r="C117" s="293"/>
      <c r="D117" s="293"/>
      <c r="E117" s="81"/>
      <c r="F117" s="285">
        <f>C5</f>
        <v>0</v>
      </c>
      <c r="G117" s="285"/>
      <c r="H117" s="285"/>
      <c r="I117" s="285"/>
      <c r="J117" s="286"/>
    </row>
    <row r="118" spans="1:10" x14ac:dyDescent="0.25">
      <c r="A118" s="293" t="s">
        <v>270</v>
      </c>
      <c r="B118" s="293"/>
      <c r="C118" s="293"/>
      <c r="D118" s="293"/>
      <c r="E118" s="81"/>
      <c r="F118" s="285">
        <f>C3</f>
        <v>0</v>
      </c>
      <c r="G118" s="285"/>
      <c r="H118" s="285"/>
      <c r="I118" s="285"/>
      <c r="J118" s="286"/>
    </row>
    <row r="119" spans="1:10" x14ac:dyDescent="0.25">
      <c r="A119" s="293" t="s">
        <v>271</v>
      </c>
      <c r="B119" s="293"/>
      <c r="C119" s="293"/>
      <c r="D119" s="293"/>
      <c r="E119" s="81"/>
      <c r="F119" s="285">
        <f>F3</f>
        <v>0</v>
      </c>
      <c r="G119" s="285"/>
      <c r="H119" s="285"/>
      <c r="I119" s="285"/>
      <c r="J119" s="286"/>
    </row>
    <row r="120" spans="1:10" ht="48" customHeight="1" x14ac:dyDescent="0.25">
      <c r="A120" s="291" t="s">
        <v>272</v>
      </c>
      <c r="B120" s="291"/>
      <c r="C120" s="291"/>
      <c r="D120" s="291"/>
      <c r="E120" s="81"/>
      <c r="F120" s="294"/>
      <c r="G120" s="294"/>
      <c r="H120" s="82" t="s">
        <v>278</v>
      </c>
      <c r="I120" s="294"/>
      <c r="J120" s="295"/>
    </row>
    <row r="121" spans="1:10" ht="31.5" customHeight="1" x14ac:dyDescent="0.25">
      <c r="A121" s="291" t="s">
        <v>273</v>
      </c>
      <c r="B121" s="291"/>
      <c r="C121" s="291"/>
      <c r="D121" s="291"/>
      <c r="E121" s="81"/>
      <c r="F121" s="287"/>
      <c r="G121" s="287"/>
      <c r="H121" s="287"/>
      <c r="I121" s="287"/>
      <c r="J121" s="288"/>
    </row>
    <row r="122" spans="1:10" x14ac:dyDescent="0.25">
      <c r="A122" s="296" t="s">
        <v>274</v>
      </c>
      <c r="B122" s="297"/>
      <c r="C122" s="297"/>
      <c r="D122" s="298"/>
      <c r="E122" s="302" t="s">
        <v>279</v>
      </c>
      <c r="F122" s="303"/>
      <c r="G122" s="303"/>
      <c r="H122" s="303"/>
      <c r="I122" s="303"/>
      <c r="J122" s="304"/>
    </row>
    <row r="123" spans="1:10" x14ac:dyDescent="0.25">
      <c r="A123" s="299"/>
      <c r="B123" s="300"/>
      <c r="C123" s="300"/>
      <c r="D123" s="301"/>
      <c r="E123" s="101"/>
      <c r="F123" s="302" t="s">
        <v>280</v>
      </c>
      <c r="G123" s="303"/>
      <c r="H123" s="303"/>
      <c r="I123" s="303"/>
      <c r="J123" s="304"/>
    </row>
    <row r="124" spans="1:10" x14ac:dyDescent="0.25">
      <c r="A124" s="299"/>
      <c r="B124" s="300"/>
      <c r="C124" s="300"/>
      <c r="D124" s="301"/>
      <c r="E124" s="101"/>
      <c r="F124" s="302" t="s">
        <v>281</v>
      </c>
      <c r="G124" s="303"/>
      <c r="H124" s="303"/>
      <c r="I124" s="303"/>
      <c r="J124" s="304"/>
    </row>
    <row r="125" spans="1:10" x14ac:dyDescent="0.25">
      <c r="A125" s="299"/>
      <c r="B125" s="300"/>
      <c r="C125" s="300"/>
      <c r="D125" s="301"/>
      <c r="E125" s="101"/>
      <c r="F125" s="302" t="s">
        <v>282</v>
      </c>
      <c r="G125" s="303"/>
      <c r="H125" s="303"/>
      <c r="I125" s="303"/>
      <c r="J125" s="304"/>
    </row>
    <row r="126" spans="1:10" ht="45.75" customHeight="1" x14ac:dyDescent="0.25">
      <c r="A126" s="299"/>
      <c r="B126" s="300"/>
      <c r="C126" s="300"/>
      <c r="D126" s="301"/>
      <c r="E126" s="133" t="s">
        <v>283</v>
      </c>
      <c r="F126" s="274"/>
      <c r="G126" s="274"/>
      <c r="H126" s="274"/>
      <c r="I126" s="274"/>
      <c r="J126" s="274"/>
    </row>
    <row r="127" spans="1:10" x14ac:dyDescent="0.25">
      <c r="A127" s="296" t="s">
        <v>275</v>
      </c>
      <c r="B127" s="297"/>
      <c r="C127" s="297"/>
      <c r="D127" s="298"/>
      <c r="E127" s="101"/>
      <c r="F127" s="289" t="s">
        <v>285</v>
      </c>
      <c r="G127" s="289"/>
      <c r="H127" s="289"/>
      <c r="I127" s="289"/>
      <c r="J127" s="290"/>
    </row>
    <row r="128" spans="1:10" ht="48" customHeight="1" x14ac:dyDescent="0.25">
      <c r="A128" s="299"/>
      <c r="B128" s="300"/>
      <c r="C128" s="300"/>
      <c r="D128" s="301"/>
      <c r="E128" s="101"/>
      <c r="F128" s="308" t="s">
        <v>286</v>
      </c>
      <c r="G128" s="308"/>
      <c r="H128" s="308"/>
      <c r="I128" s="308"/>
      <c r="J128" s="309"/>
    </row>
    <row r="129" spans="1:10" ht="45.75" customHeight="1" x14ac:dyDescent="0.25">
      <c r="A129" s="305"/>
      <c r="B129" s="306"/>
      <c r="C129" s="306"/>
      <c r="D129" s="307"/>
      <c r="E129" s="133" t="s">
        <v>283</v>
      </c>
      <c r="F129" s="274"/>
      <c r="G129" s="274"/>
      <c r="H129" s="274"/>
      <c r="I129" s="274"/>
      <c r="J129" s="274"/>
    </row>
    <row r="130" spans="1:10" ht="47.25" customHeight="1" x14ac:dyDescent="0.25">
      <c r="A130" s="275" t="s">
        <v>276</v>
      </c>
      <c r="B130" s="276"/>
      <c r="C130" s="276"/>
      <c r="D130" s="277"/>
      <c r="E130" s="89"/>
      <c r="F130" s="274"/>
      <c r="G130" s="274"/>
      <c r="H130" s="274"/>
      <c r="I130" s="274"/>
      <c r="J130" s="274"/>
    </row>
    <row r="131" spans="1:10" ht="25.5" customHeight="1" x14ac:dyDescent="0.25">
      <c r="A131" s="296" t="s">
        <v>284</v>
      </c>
      <c r="B131" s="297"/>
      <c r="C131" s="297"/>
      <c r="D131" s="298"/>
      <c r="E131" s="280" t="s">
        <v>287</v>
      </c>
      <c r="F131" s="281"/>
      <c r="G131" s="281"/>
      <c r="H131" s="281"/>
      <c r="I131" s="281"/>
      <c r="J131" s="282"/>
    </row>
    <row r="132" spans="1:10" x14ac:dyDescent="0.25">
      <c r="A132" s="299"/>
      <c r="B132" s="300"/>
      <c r="C132" s="300"/>
      <c r="D132" s="301"/>
      <c r="E132" s="101"/>
      <c r="F132" s="278" t="s">
        <v>288</v>
      </c>
      <c r="G132" s="278"/>
      <c r="H132" s="278"/>
      <c r="I132" s="278"/>
      <c r="J132" s="279"/>
    </row>
    <row r="133" spans="1:10" x14ac:dyDescent="0.25">
      <c r="A133" s="299"/>
      <c r="B133" s="300"/>
      <c r="C133" s="300"/>
      <c r="D133" s="301"/>
      <c r="E133" s="101"/>
      <c r="F133" s="278" t="s">
        <v>289</v>
      </c>
      <c r="G133" s="278"/>
      <c r="H133" s="278"/>
      <c r="I133" s="278"/>
      <c r="J133" s="279"/>
    </row>
    <row r="134" spans="1:10" x14ac:dyDescent="0.25">
      <c r="A134" s="299"/>
      <c r="B134" s="300"/>
      <c r="C134" s="300"/>
      <c r="D134" s="301"/>
      <c r="E134" s="101"/>
      <c r="F134" s="278" t="s">
        <v>290</v>
      </c>
      <c r="G134" s="278"/>
      <c r="H134" s="278"/>
      <c r="I134" s="278"/>
      <c r="J134" s="279"/>
    </row>
    <row r="135" spans="1:10" x14ac:dyDescent="0.25">
      <c r="A135" s="299"/>
      <c r="B135" s="300"/>
      <c r="C135" s="300"/>
      <c r="D135" s="301"/>
      <c r="E135" s="101"/>
      <c r="F135" s="278" t="s">
        <v>291</v>
      </c>
      <c r="G135" s="278"/>
      <c r="H135" s="278"/>
      <c r="I135" s="278"/>
      <c r="J135" s="279"/>
    </row>
    <row r="136" spans="1:10" ht="45.75" customHeight="1" x14ac:dyDescent="0.25">
      <c r="A136" s="305"/>
      <c r="B136" s="306"/>
      <c r="C136" s="306"/>
      <c r="D136" s="307"/>
      <c r="E136" s="133" t="s">
        <v>283</v>
      </c>
      <c r="F136" s="274"/>
      <c r="G136" s="274"/>
      <c r="H136" s="274"/>
      <c r="I136" s="274"/>
      <c r="J136" s="274"/>
    </row>
    <row r="137" spans="1:10" ht="45.75" customHeight="1" x14ac:dyDescent="0.25">
      <c r="A137" s="291" t="s">
        <v>277</v>
      </c>
      <c r="B137" s="291"/>
      <c r="C137" s="291"/>
      <c r="D137" s="291"/>
      <c r="E137" s="89"/>
      <c r="F137" s="292" t="s">
        <v>292</v>
      </c>
      <c r="G137" s="292"/>
      <c r="H137" s="292"/>
      <c r="I137" s="292"/>
      <c r="J137" s="292"/>
    </row>
    <row r="143" spans="1:10" ht="42" customHeight="1" x14ac:dyDescent="0.25">
      <c r="A143" s="208" t="s">
        <v>294</v>
      </c>
      <c r="B143" s="209"/>
      <c r="C143" s="209"/>
      <c r="D143" s="209"/>
      <c r="E143" s="209"/>
      <c r="F143" s="209"/>
      <c r="G143" s="209"/>
      <c r="H143" s="209"/>
      <c r="I143" s="209"/>
      <c r="J143" s="209"/>
    </row>
    <row r="145" spans="1:10" x14ac:dyDescent="0.25">
      <c r="A145" s="210" t="s">
        <v>203</v>
      </c>
      <c r="B145" s="210"/>
      <c r="C145" s="321" t="str">
        <f>C3&amp;"/"&amp;F3</f>
        <v>/</v>
      </c>
      <c r="D145" s="321"/>
      <c r="E145" s="321"/>
      <c r="F145" s="321"/>
      <c r="G145" s="212" t="s">
        <v>295</v>
      </c>
      <c r="H145" s="212"/>
      <c r="I145" s="212"/>
      <c r="J145" s="102">
        <f>'SGO #1(Tiered or Simple)'!D20</f>
        <v>0</v>
      </c>
    </row>
    <row r="146" spans="1:10" x14ac:dyDescent="0.25">
      <c r="A146" s="210" t="s">
        <v>204</v>
      </c>
      <c r="B146" s="210"/>
      <c r="C146" s="284">
        <f>C5</f>
        <v>0</v>
      </c>
      <c r="D146" s="284"/>
      <c r="E146" s="284"/>
      <c r="F146" s="284"/>
      <c r="G146" s="84"/>
      <c r="H146" s="77"/>
      <c r="I146" s="77"/>
    </row>
    <row r="147" spans="1:10" x14ac:dyDescent="0.25">
      <c r="A147" s="210" t="s">
        <v>205</v>
      </c>
      <c r="B147" s="210"/>
      <c r="C147" s="284">
        <f>C7</f>
        <v>0</v>
      </c>
      <c r="D147" s="284"/>
      <c r="E147" s="284"/>
      <c r="F147" s="284"/>
      <c r="G147" s="84"/>
      <c r="H147" s="77"/>
      <c r="I147" s="77"/>
    </row>
    <row r="148" spans="1:10" x14ac:dyDescent="0.25">
      <c r="G148" s="77"/>
      <c r="H148" s="77"/>
      <c r="I148" s="77"/>
    </row>
    <row r="149" spans="1:10" ht="27.75" customHeight="1" x14ac:dyDescent="0.25">
      <c r="A149" s="283" t="s">
        <v>296</v>
      </c>
      <c r="B149" s="283"/>
      <c r="C149" s="283"/>
      <c r="D149" s="283" t="s">
        <v>297</v>
      </c>
      <c r="E149" s="283"/>
      <c r="F149" s="283"/>
      <c r="G149" s="283" t="s">
        <v>298</v>
      </c>
      <c r="H149" s="283"/>
      <c r="I149" s="283"/>
      <c r="J149" s="283"/>
    </row>
    <row r="150" spans="1:10" ht="80.25" customHeight="1" x14ac:dyDescent="0.25">
      <c r="A150" s="270" t="s">
        <v>299</v>
      </c>
      <c r="B150" s="271"/>
      <c r="C150" s="271"/>
      <c r="D150" s="272" t="str">
        <f>IF('SGO #1(Tiered or Simple)'!D17=0,"",'SGO #1(Tiered or Simple)'!E17)</f>
        <v/>
      </c>
      <c r="E150" s="273"/>
      <c r="F150" s="273"/>
      <c r="G150" s="274"/>
      <c r="H150" s="274"/>
      <c r="I150" s="274"/>
      <c r="J150" s="274"/>
    </row>
    <row r="151" spans="1:10" ht="80.25" customHeight="1" x14ac:dyDescent="0.25">
      <c r="A151" s="270" t="s">
        <v>300</v>
      </c>
      <c r="B151" s="271"/>
      <c r="C151" s="271"/>
      <c r="D151" s="272" t="str">
        <f>IF('SGO #1(Tiered or Simple)'!D14=0,"",'SGO #1(Tiered or Simple)'!E14)</f>
        <v/>
      </c>
      <c r="E151" s="273"/>
      <c r="F151" s="273"/>
      <c r="G151" s="274"/>
      <c r="H151" s="274"/>
      <c r="I151" s="274"/>
      <c r="J151" s="274"/>
    </row>
    <row r="152" spans="1:10" ht="80.25" customHeight="1" x14ac:dyDescent="0.25">
      <c r="A152" s="270" t="s">
        <v>343</v>
      </c>
      <c r="B152" s="271"/>
      <c r="C152" s="271"/>
      <c r="D152" s="272" t="str">
        <f>IF('SGO #1(Tiered or Simple)'!D11=0,"",'SGO #1(Tiered or Simple)'!E11)</f>
        <v/>
      </c>
      <c r="E152" s="273"/>
      <c r="F152" s="273"/>
      <c r="G152" s="274"/>
      <c r="H152" s="274"/>
      <c r="I152" s="274"/>
      <c r="J152" s="274"/>
    </row>
    <row r="154" spans="1:10" x14ac:dyDescent="0.25">
      <c r="A154" s="210" t="s">
        <v>301</v>
      </c>
      <c r="B154" s="210"/>
      <c r="C154" s="210"/>
      <c r="D154" s="210"/>
      <c r="E154" s="210"/>
      <c r="F154" s="210"/>
      <c r="G154" s="210"/>
      <c r="H154" s="210"/>
      <c r="I154" s="210"/>
      <c r="J154" s="210"/>
    </row>
    <row r="155" spans="1:10" x14ac:dyDescent="0.25">
      <c r="A155" s="210" t="s">
        <v>302</v>
      </c>
      <c r="B155" s="210"/>
      <c r="C155" s="210"/>
      <c r="D155" s="210"/>
      <c r="E155" s="210"/>
      <c r="F155" s="210"/>
      <c r="G155" s="210"/>
      <c r="H155" s="210"/>
      <c r="I155" s="210"/>
      <c r="J155" s="210"/>
    </row>
    <row r="156" spans="1:10" ht="48.75" customHeight="1" x14ac:dyDescent="0.25">
      <c r="A156" s="265" t="s">
        <v>303</v>
      </c>
      <c r="B156" s="266"/>
      <c r="C156" s="266"/>
      <c r="D156" s="266"/>
      <c r="E156" s="266"/>
      <c r="F156" s="266"/>
      <c r="G156" s="266"/>
      <c r="H156" s="266"/>
      <c r="I156" s="266"/>
      <c r="J156" s="266"/>
    </row>
    <row r="158" spans="1:10" x14ac:dyDescent="0.25">
      <c r="A158" s="264" t="s">
        <v>304</v>
      </c>
      <c r="B158" s="264"/>
      <c r="C158" s="264"/>
      <c r="D158" s="264"/>
      <c r="E158" s="264"/>
      <c r="F158" s="264"/>
      <c r="G158" s="264"/>
      <c r="H158" s="264"/>
      <c r="I158" s="264"/>
      <c r="J158" s="264"/>
    </row>
    <row r="159" spans="1:10" ht="53.25" customHeight="1" x14ac:dyDescent="0.25">
      <c r="A159" s="265" t="s">
        <v>305</v>
      </c>
      <c r="B159" s="266"/>
      <c r="C159" s="266"/>
      <c r="D159" s="266"/>
      <c r="E159" s="266"/>
      <c r="F159" s="266"/>
      <c r="G159" s="266"/>
      <c r="H159" s="266"/>
      <c r="I159" s="266"/>
      <c r="J159" s="266"/>
    </row>
    <row r="161" spans="1:10" x14ac:dyDescent="0.25">
      <c r="A161" s="101"/>
      <c r="B161" s="267" t="s">
        <v>306</v>
      </c>
      <c r="C161" s="266"/>
      <c r="D161" s="266"/>
      <c r="E161" s="266"/>
      <c r="F161" s="266"/>
      <c r="G161" s="266"/>
      <c r="H161" s="266"/>
      <c r="I161" s="266"/>
      <c r="J161" s="266"/>
    </row>
    <row r="163" spans="1:10" x14ac:dyDescent="0.25">
      <c r="A163" s="187" t="s">
        <v>266</v>
      </c>
      <c r="B163" s="187"/>
      <c r="C163" s="187"/>
      <c r="D163" s="268"/>
      <c r="E163" s="268"/>
      <c r="F163" s="268"/>
      <c r="H163" t="s">
        <v>267</v>
      </c>
      <c r="I163" s="269"/>
      <c r="J163" s="269"/>
    </row>
    <row r="165" spans="1:10" x14ac:dyDescent="0.25">
      <c r="A165" s="187" t="s">
        <v>268</v>
      </c>
      <c r="B165" s="187"/>
      <c r="C165" s="187"/>
      <c r="D165" s="268"/>
      <c r="E165" s="268"/>
      <c r="F165" s="268"/>
      <c r="H165" t="s">
        <v>267</v>
      </c>
      <c r="I165" s="269"/>
      <c r="J165" s="269"/>
    </row>
    <row r="169" spans="1:10" ht="42" customHeight="1" x14ac:dyDescent="0.25">
      <c r="A169" s="208" t="s">
        <v>307</v>
      </c>
      <c r="B169" s="209"/>
      <c r="C169" s="209"/>
      <c r="D169" s="209"/>
      <c r="E169" s="209"/>
      <c r="F169" s="209"/>
      <c r="G169" s="209"/>
      <c r="H169" s="209"/>
      <c r="I169" s="209"/>
      <c r="J169" s="209"/>
    </row>
    <row r="171" spans="1:10" x14ac:dyDescent="0.25">
      <c r="A171" s="233" t="s">
        <v>308</v>
      </c>
      <c r="B171" s="233"/>
      <c r="C171" s="233" t="s">
        <v>270</v>
      </c>
      <c r="D171" s="233"/>
      <c r="E171" s="233" t="s">
        <v>309</v>
      </c>
      <c r="F171" s="233"/>
      <c r="G171" s="233"/>
      <c r="H171" s="233" t="s">
        <v>310</v>
      </c>
      <c r="I171" s="233"/>
      <c r="J171" s="233"/>
    </row>
    <row r="172" spans="1:10" x14ac:dyDescent="0.25">
      <c r="A172" s="249">
        <f>C3</f>
        <v>0</v>
      </c>
      <c r="B172" s="250"/>
      <c r="C172" s="249">
        <f>F3</f>
        <v>0</v>
      </c>
      <c r="D172" s="250"/>
      <c r="E172" s="255">
        <f>J145</f>
        <v>0</v>
      </c>
      <c r="F172" s="256"/>
      <c r="G172" s="257"/>
      <c r="H172" s="86" t="s">
        <v>311</v>
      </c>
      <c r="I172" s="101"/>
      <c r="J172" s="87"/>
    </row>
    <row r="173" spans="1:10" x14ac:dyDescent="0.25">
      <c r="A173" s="251"/>
      <c r="B173" s="252"/>
      <c r="C173" s="251"/>
      <c r="D173" s="252"/>
      <c r="E173" s="258"/>
      <c r="F173" s="259"/>
      <c r="G173" s="260"/>
      <c r="H173" s="86" t="s">
        <v>312</v>
      </c>
      <c r="I173" s="101"/>
      <c r="J173" s="87"/>
    </row>
    <row r="174" spans="1:10" x14ac:dyDescent="0.25">
      <c r="A174" s="253"/>
      <c r="B174" s="254"/>
      <c r="C174" s="253"/>
      <c r="D174" s="254"/>
      <c r="E174" s="261"/>
      <c r="F174" s="262"/>
      <c r="G174" s="263"/>
      <c r="H174" s="88" t="s">
        <v>283</v>
      </c>
      <c r="I174" s="247"/>
      <c r="J174" s="248"/>
    </row>
    <row r="175" spans="1:10" x14ac:dyDescent="0.25">
      <c r="A175" s="238" t="s">
        <v>313</v>
      </c>
      <c r="B175" s="239"/>
      <c r="C175" s="242"/>
      <c r="D175" s="242"/>
      <c r="E175" s="242"/>
      <c r="F175" s="242"/>
      <c r="G175" s="243"/>
      <c r="H175" s="234" t="s">
        <v>315</v>
      </c>
      <c r="I175" s="79" t="s">
        <v>316</v>
      </c>
      <c r="J175" s="101"/>
    </row>
    <row r="176" spans="1:10" x14ac:dyDescent="0.25">
      <c r="A176" s="240"/>
      <c r="B176" s="241"/>
      <c r="C176" s="244"/>
      <c r="D176" s="244"/>
      <c r="E176" s="244"/>
      <c r="F176" s="244"/>
      <c r="G176" s="245"/>
      <c r="H176" s="234"/>
      <c r="I176" s="79" t="s">
        <v>317</v>
      </c>
      <c r="J176" s="101"/>
    </row>
    <row r="177" spans="1:10" ht="29.25" customHeight="1" x14ac:dyDescent="0.25">
      <c r="A177" s="235" t="s">
        <v>314</v>
      </c>
      <c r="B177" s="236"/>
      <c r="C177" s="236"/>
      <c r="D177" s="236"/>
      <c r="E177" s="236"/>
      <c r="F177" s="236"/>
      <c r="G177" s="236"/>
      <c r="H177" s="236"/>
      <c r="I177" s="236"/>
      <c r="J177" s="237"/>
    </row>
    <row r="178" spans="1:10" ht="109.5" customHeight="1" x14ac:dyDescent="0.25">
      <c r="A178" s="246"/>
      <c r="B178" s="246"/>
      <c r="C178" s="246"/>
      <c r="D178" s="246"/>
      <c r="E178" s="246"/>
      <c r="F178" s="246"/>
      <c r="G178" s="246"/>
      <c r="H178" s="246"/>
      <c r="I178" s="246"/>
      <c r="J178" s="246"/>
    </row>
    <row r="179" spans="1:10" x14ac:dyDescent="0.25">
      <c r="A179" s="228" t="s">
        <v>200</v>
      </c>
      <c r="B179" s="229"/>
      <c r="C179" s="229"/>
      <c r="D179" s="229"/>
      <c r="E179" s="229"/>
      <c r="F179" s="229"/>
      <c r="G179" s="229"/>
      <c r="H179" s="229"/>
      <c r="I179" s="229"/>
      <c r="J179" s="229"/>
    </row>
    <row r="180" spans="1:10" ht="120.75" customHeight="1" x14ac:dyDescent="0.25">
      <c r="A180" s="230"/>
      <c r="B180" s="231"/>
      <c r="C180" s="231"/>
      <c r="D180" s="231"/>
      <c r="E180" s="231"/>
      <c r="F180" s="231"/>
      <c r="G180" s="231"/>
      <c r="H180" s="231"/>
      <c r="I180" s="231"/>
      <c r="J180" s="232"/>
    </row>
    <row r="181" spans="1:10" x14ac:dyDescent="0.25">
      <c r="A181" s="228" t="s">
        <v>198</v>
      </c>
      <c r="B181" s="229"/>
      <c r="C181" s="229"/>
      <c r="D181" s="229"/>
      <c r="E181" s="229"/>
      <c r="F181" s="229"/>
      <c r="G181" s="229"/>
      <c r="H181" s="229"/>
      <c r="I181" s="229"/>
      <c r="J181" s="229"/>
    </row>
    <row r="182" spans="1:10" ht="29.25" customHeight="1" x14ac:dyDescent="0.25">
      <c r="A182" s="225" t="s">
        <v>318</v>
      </c>
      <c r="B182" s="226"/>
      <c r="C182" s="226"/>
      <c r="D182" s="226"/>
      <c r="E182" s="226"/>
      <c r="F182" s="226"/>
      <c r="G182" s="226"/>
      <c r="H182" s="226"/>
      <c r="I182" s="226"/>
      <c r="J182" s="226"/>
    </row>
    <row r="183" spans="1:10" x14ac:dyDescent="0.25">
      <c r="A183" s="233" t="s">
        <v>342</v>
      </c>
      <c r="B183" s="233"/>
      <c r="C183" s="233" t="s">
        <v>319</v>
      </c>
      <c r="D183" s="233"/>
      <c r="E183" s="234" t="s">
        <v>320</v>
      </c>
      <c r="F183" s="234"/>
      <c r="G183" s="233" t="s">
        <v>321</v>
      </c>
      <c r="H183" s="233"/>
      <c r="I183" s="233" t="s">
        <v>199</v>
      </c>
      <c r="J183" s="233"/>
    </row>
    <row r="184" spans="1:10" x14ac:dyDescent="0.25">
      <c r="A184" s="220" t="str">
        <f>IF('SGO #1(Tiered or Simple)'!D11=0,"",IF('SGO #1(Tiered or Simple)'!T37=0,'SGO #1(Tiered or Simple)'!S37,'SGO #1(Tiered or Simple)'!U37))</f>
        <v/>
      </c>
      <c r="B184" s="220"/>
      <c r="C184" s="214" t="e">
        <f>'SGO #1(Tiered or Simple)'!H11</f>
        <v>#VALUE!</v>
      </c>
      <c r="D184" s="214"/>
      <c r="E184" s="227" t="e">
        <f>'SGO #1(Tiered or Simple)'!I11</f>
        <v>#VALUE!</v>
      </c>
      <c r="F184" s="214"/>
      <c r="G184" s="214" t="e">
        <f>'SGO #1(Tiered or Simple)'!J11</f>
        <v>#VALUE!</v>
      </c>
      <c r="H184" s="214"/>
      <c r="I184" s="214" t="e">
        <f>'SGO #1(Tiered or Simple)'!K11</f>
        <v>#VALUE!</v>
      </c>
      <c r="J184" s="214"/>
    </row>
    <row r="185" spans="1:10" x14ac:dyDescent="0.25">
      <c r="A185" s="220"/>
      <c r="B185" s="220"/>
      <c r="C185" s="214" t="e">
        <f>'SGO #1(Tiered or Simple)'!H12</f>
        <v>#VALUE!</v>
      </c>
      <c r="D185" s="214"/>
      <c r="E185" s="214" t="e">
        <f>'SGO #1(Tiered or Simple)'!I12</f>
        <v>#VALUE!</v>
      </c>
      <c r="F185" s="214"/>
      <c r="G185" s="214" t="e">
        <f>'SGO #1(Tiered or Simple)'!J12</f>
        <v>#VALUE!</v>
      </c>
      <c r="H185" s="214"/>
      <c r="I185" s="214" t="e">
        <f>'SGO #1(Tiered or Simple)'!K12</f>
        <v>#VALUE!</v>
      </c>
      <c r="J185" s="214"/>
    </row>
    <row r="186" spans="1:10" ht="29.25" customHeight="1" x14ac:dyDescent="0.25">
      <c r="A186" s="225" t="s">
        <v>322</v>
      </c>
      <c r="B186" s="226"/>
      <c r="C186" s="226"/>
      <c r="D186" s="226"/>
      <c r="E186" s="226"/>
      <c r="F186" s="226"/>
      <c r="G186" s="226"/>
      <c r="H186" s="226"/>
      <c r="I186" s="226"/>
      <c r="J186" s="226"/>
    </row>
    <row r="187" spans="1:10" ht="21" customHeight="1" x14ac:dyDescent="0.25">
      <c r="A187" s="79" t="s">
        <v>323</v>
      </c>
      <c r="B187" s="214">
        <f>C146</f>
        <v>0</v>
      </c>
      <c r="C187" s="214"/>
      <c r="D187" s="79" t="s">
        <v>324</v>
      </c>
      <c r="E187" s="215"/>
      <c r="F187" s="215"/>
      <c r="G187" s="216" t="s">
        <v>325</v>
      </c>
      <c r="H187" s="216"/>
      <c r="I187" s="217"/>
      <c r="J187" s="217"/>
    </row>
    <row r="188" spans="1:10" ht="21" customHeight="1" x14ac:dyDescent="0.25">
      <c r="A188" s="79" t="s">
        <v>326</v>
      </c>
      <c r="B188" s="214">
        <f>C147</f>
        <v>0</v>
      </c>
      <c r="C188" s="214"/>
      <c r="D188" s="79" t="s">
        <v>324</v>
      </c>
      <c r="E188" s="215"/>
      <c r="F188" s="215"/>
      <c r="G188" s="216" t="s">
        <v>327</v>
      </c>
      <c r="H188" s="216"/>
      <c r="I188" s="217"/>
      <c r="J188" s="217"/>
    </row>
    <row r="189" spans="1:10" ht="29.25" customHeight="1" x14ac:dyDescent="0.25">
      <c r="A189" s="218" t="s">
        <v>328</v>
      </c>
      <c r="B189" s="219"/>
      <c r="C189" s="219"/>
      <c r="D189" s="219"/>
      <c r="E189" s="219"/>
      <c r="F189" s="219"/>
      <c r="G189" s="219"/>
      <c r="H189" s="219"/>
      <c r="I189" s="219"/>
      <c r="J189" s="219"/>
    </row>
    <row r="190" spans="1:10" ht="33.75" customHeight="1" x14ac:dyDescent="0.25">
      <c r="A190" s="220" t="str">
        <f ca="1">'SGO #1(Tiered or Simple)'!L12&amp;"/"&amp;'SGO #1(Tiered or Simple)'!D11</f>
        <v>0/0</v>
      </c>
      <c r="B190" s="220"/>
      <c r="C190" s="220"/>
      <c r="D190" s="89" t="s">
        <v>329</v>
      </c>
      <c r="E190" s="220" t="e">
        <f ca="1">'SGO #1(Tiered or Simple)'!N11</f>
        <v>#VALUE!</v>
      </c>
      <c r="F190" s="220"/>
      <c r="G190" s="89" t="s">
        <v>323</v>
      </c>
      <c r="H190" s="220">
        <f>C146</f>
        <v>0</v>
      </c>
      <c r="I190" s="220"/>
      <c r="J190" s="220"/>
    </row>
    <row r="191" spans="1:10" ht="33.75" customHeight="1" x14ac:dyDescent="0.25">
      <c r="A191" s="220"/>
      <c r="B191" s="220"/>
      <c r="C191" s="220"/>
      <c r="D191" s="89" t="s">
        <v>330</v>
      </c>
      <c r="E191" s="224"/>
      <c r="F191" s="224"/>
      <c r="G191" s="89" t="s">
        <v>326</v>
      </c>
      <c r="H191" s="220">
        <f>C147</f>
        <v>0</v>
      </c>
      <c r="I191" s="220"/>
      <c r="J191" s="220"/>
    </row>
    <row r="193" spans="1:10" ht="42" customHeight="1" x14ac:dyDescent="0.25">
      <c r="A193" s="208" t="s">
        <v>331</v>
      </c>
      <c r="B193" s="209"/>
      <c r="C193" s="209"/>
      <c r="D193" s="209"/>
      <c r="E193" s="209"/>
      <c r="F193" s="209"/>
      <c r="G193" s="209"/>
      <c r="H193" s="209"/>
      <c r="I193" s="209"/>
      <c r="J193" s="209"/>
    </row>
    <row r="195" spans="1:10" ht="31.5" customHeight="1" x14ac:dyDescent="0.25">
      <c r="A195" s="210" t="s">
        <v>204</v>
      </c>
      <c r="B195" s="210"/>
      <c r="C195" s="222">
        <f>C146</f>
        <v>0</v>
      </c>
      <c r="D195" s="222"/>
      <c r="E195" s="222"/>
      <c r="F195" s="222"/>
      <c r="G195" s="212" t="s">
        <v>330</v>
      </c>
      <c r="H195" s="212"/>
      <c r="I195" s="223"/>
      <c r="J195" s="223"/>
    </row>
    <row r="196" spans="1:10" ht="31.5" customHeight="1" x14ac:dyDescent="0.25">
      <c r="A196" s="211" t="s">
        <v>332</v>
      </c>
      <c r="B196" s="211"/>
      <c r="C196" s="221" t="str">
        <f>C3&amp;"/"&amp;F3</f>
        <v>/</v>
      </c>
      <c r="D196" s="221"/>
      <c r="E196" s="221"/>
      <c r="F196" s="221"/>
      <c r="G196" s="84"/>
      <c r="H196" s="77"/>
      <c r="I196" s="77"/>
    </row>
    <row r="197" spans="1:10" ht="31.5" customHeight="1" x14ac:dyDescent="0.25">
      <c r="A197" s="210" t="s">
        <v>205</v>
      </c>
      <c r="B197" s="210"/>
      <c r="C197" s="221">
        <f>C147</f>
        <v>0</v>
      </c>
      <c r="D197" s="221"/>
      <c r="E197" s="221"/>
      <c r="F197" s="221"/>
      <c r="G197" s="84"/>
      <c r="H197" s="77"/>
      <c r="I197" s="77"/>
    </row>
    <row r="199" spans="1:10" ht="29.25" customHeight="1" x14ac:dyDescent="0.25">
      <c r="A199" s="213" t="s">
        <v>333</v>
      </c>
      <c r="B199" s="213"/>
      <c r="C199" s="213"/>
      <c r="D199" s="213"/>
      <c r="E199" s="213"/>
      <c r="F199" s="213"/>
      <c r="G199" s="213"/>
      <c r="H199" s="213"/>
      <c r="I199" s="213"/>
      <c r="J199" s="213"/>
    </row>
    <row r="201" spans="1:10" x14ac:dyDescent="0.25">
      <c r="A201" s="203" t="s">
        <v>334</v>
      </c>
      <c r="B201" s="203"/>
      <c r="C201" s="203"/>
      <c r="D201" s="203"/>
      <c r="E201" s="203"/>
      <c r="F201" s="203"/>
      <c r="G201" s="203"/>
      <c r="H201" s="203"/>
      <c r="I201" s="203"/>
      <c r="J201" s="203"/>
    </row>
    <row r="202" spans="1:10" ht="75" customHeight="1" x14ac:dyDescent="0.25">
      <c r="A202" s="204"/>
      <c r="B202" s="205"/>
      <c r="C202" s="205"/>
      <c r="D202" s="205"/>
      <c r="E202" s="205"/>
      <c r="F202" s="205"/>
      <c r="G202" s="205"/>
      <c r="H202" s="205"/>
      <c r="I202" s="205"/>
      <c r="J202" s="206"/>
    </row>
    <row r="203" spans="1:10" x14ac:dyDescent="0.25">
      <c r="A203" s="203" t="s">
        <v>335</v>
      </c>
      <c r="B203" s="203"/>
      <c r="C203" s="203"/>
      <c r="D203" s="203"/>
      <c r="E203" s="203"/>
      <c r="F203" s="203"/>
      <c r="G203" s="203"/>
      <c r="H203" s="203"/>
      <c r="I203" s="203"/>
      <c r="J203" s="203"/>
    </row>
    <row r="204" spans="1:10" ht="75" customHeight="1" x14ac:dyDescent="0.25">
      <c r="A204" s="204"/>
      <c r="B204" s="205"/>
      <c r="C204" s="205"/>
      <c r="D204" s="205"/>
      <c r="E204" s="205"/>
      <c r="F204" s="205"/>
      <c r="G204" s="205"/>
      <c r="H204" s="205"/>
      <c r="I204" s="205"/>
      <c r="J204" s="206"/>
    </row>
    <row r="205" spans="1:10" x14ac:dyDescent="0.25">
      <c r="A205" s="203" t="s">
        <v>336</v>
      </c>
      <c r="B205" s="203"/>
      <c r="C205" s="203"/>
      <c r="D205" s="203"/>
      <c r="E205" s="203"/>
      <c r="F205" s="203"/>
      <c r="G205" s="203"/>
      <c r="H205" s="203"/>
      <c r="I205" s="203"/>
      <c r="J205" s="203"/>
    </row>
    <row r="206" spans="1:10" ht="75" customHeight="1" x14ac:dyDescent="0.25">
      <c r="A206" s="204"/>
      <c r="B206" s="205"/>
      <c r="C206" s="205"/>
      <c r="D206" s="205"/>
      <c r="E206" s="205"/>
      <c r="F206" s="205"/>
      <c r="G206" s="205"/>
      <c r="H206" s="205"/>
      <c r="I206" s="205"/>
      <c r="J206" s="206"/>
    </row>
    <row r="207" spans="1:10" x14ac:dyDescent="0.25">
      <c r="A207" s="203" t="s">
        <v>337</v>
      </c>
      <c r="B207" s="203"/>
      <c r="C207" s="203"/>
      <c r="D207" s="203"/>
      <c r="E207" s="203"/>
      <c r="F207" s="203"/>
      <c r="G207" s="203"/>
      <c r="H207" s="203"/>
      <c r="I207" s="203"/>
      <c r="J207" s="203"/>
    </row>
    <row r="208" spans="1:10" ht="75" customHeight="1" x14ac:dyDescent="0.25">
      <c r="A208" s="204"/>
      <c r="B208" s="205"/>
      <c r="C208" s="205"/>
      <c r="D208" s="205"/>
      <c r="E208" s="205"/>
      <c r="F208" s="205"/>
      <c r="G208" s="205"/>
      <c r="H208" s="205"/>
      <c r="I208" s="205"/>
      <c r="J208" s="206"/>
    </row>
    <row r="209" spans="1:10" ht="17.25" customHeight="1" x14ac:dyDescent="0.25">
      <c r="A209" s="91"/>
      <c r="B209" s="91"/>
      <c r="C209" s="91"/>
      <c r="D209" s="91"/>
      <c r="E209" s="91"/>
      <c r="F209" s="91"/>
      <c r="G209" s="91"/>
      <c r="H209" s="91"/>
      <c r="I209" s="91"/>
      <c r="J209" s="91"/>
    </row>
    <row r="210" spans="1:10" ht="36.75" customHeight="1" x14ac:dyDescent="0.25">
      <c r="A210" s="207" t="s">
        <v>338</v>
      </c>
      <c r="B210" s="207"/>
      <c r="C210" s="207"/>
      <c r="D210" s="207"/>
      <c r="E210" s="207"/>
      <c r="F210" s="207"/>
      <c r="G210" s="207"/>
      <c r="H210" s="207"/>
      <c r="I210" s="207"/>
      <c r="J210" s="207"/>
    </row>
    <row r="211" spans="1:10" x14ac:dyDescent="0.25">
      <c r="A211" s="90"/>
      <c r="B211" s="90"/>
      <c r="C211" s="90"/>
      <c r="D211" s="90"/>
      <c r="E211" s="90"/>
      <c r="F211" s="90"/>
      <c r="G211" s="90"/>
      <c r="H211" s="90"/>
      <c r="I211" s="90"/>
      <c r="J211" s="90"/>
    </row>
  </sheetData>
  <sheetProtection password="CC4A" sheet="1" objects="1" scenarios="1" formatCells="0" formatRows="0" selectLockedCells="1"/>
  <mergeCells count="315">
    <mergeCell ref="G46:J46"/>
    <mergeCell ref="G47:J47"/>
    <mergeCell ref="G48:J48"/>
    <mergeCell ref="G49:J49"/>
    <mergeCell ref="G50:J50"/>
    <mergeCell ref="G37:J37"/>
    <mergeCell ref="G38:J38"/>
    <mergeCell ref="G39:J39"/>
    <mergeCell ref="G40:J40"/>
    <mergeCell ref="G41:J41"/>
    <mergeCell ref="G42:J42"/>
    <mergeCell ref="G43:J43"/>
    <mergeCell ref="G44:J44"/>
    <mergeCell ref="G45:J45"/>
    <mergeCell ref="A46:B46"/>
    <mergeCell ref="A47:B47"/>
    <mergeCell ref="A48:B48"/>
    <mergeCell ref="A49:B49"/>
    <mergeCell ref="A50:B50"/>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A37:B37"/>
    <mergeCell ref="A38:B38"/>
    <mergeCell ref="A39:B39"/>
    <mergeCell ref="A40:B40"/>
    <mergeCell ref="A41:B41"/>
    <mergeCell ref="A42:B42"/>
    <mergeCell ref="A43:B43"/>
    <mergeCell ref="A44:B44"/>
    <mergeCell ref="A45:B45"/>
    <mergeCell ref="A33:J33"/>
    <mergeCell ref="A35:B35"/>
    <mergeCell ref="C3:D3"/>
    <mergeCell ref="F3:G3"/>
    <mergeCell ref="C145:F145"/>
    <mergeCell ref="C35:F35"/>
    <mergeCell ref="G35:J35"/>
    <mergeCell ref="A36:B36"/>
    <mergeCell ref="C36:F36"/>
    <mergeCell ref="G36:J36"/>
    <mergeCell ref="A51:B51"/>
    <mergeCell ref="C51:F51"/>
    <mergeCell ref="G51:J51"/>
    <mergeCell ref="C56:F56"/>
    <mergeCell ref="G56:J56"/>
    <mergeCell ref="A61:B61"/>
    <mergeCell ref="C61:F61"/>
    <mergeCell ref="G61:J61"/>
    <mergeCell ref="A62:B62"/>
    <mergeCell ref="C62:F62"/>
    <mergeCell ref="A57:B57"/>
    <mergeCell ref="C57:F57"/>
    <mergeCell ref="G57:J57"/>
    <mergeCell ref="A58:B58"/>
    <mergeCell ref="C58:F58"/>
    <mergeCell ref="G58:J58"/>
    <mergeCell ref="A55:B55"/>
    <mergeCell ref="C55:F55"/>
    <mergeCell ref="G55:J55"/>
    <mergeCell ref="A56:B56"/>
    <mergeCell ref="A52:B52"/>
    <mergeCell ref="C52:F52"/>
    <mergeCell ref="G52:J52"/>
    <mergeCell ref="A53:B53"/>
    <mergeCell ref="C53:F53"/>
    <mergeCell ref="G53:J53"/>
    <mergeCell ref="A54:B54"/>
    <mergeCell ref="C54:F54"/>
    <mergeCell ref="G54:J54"/>
    <mergeCell ref="A1:J1"/>
    <mergeCell ref="A27:J27"/>
    <mergeCell ref="A29:B29"/>
    <mergeCell ref="C29:G29"/>
    <mergeCell ref="A31:B31"/>
    <mergeCell ref="C31:G31"/>
    <mergeCell ref="A3:B3"/>
    <mergeCell ref="A5:B5"/>
    <mergeCell ref="A7:B7"/>
    <mergeCell ref="C5:G5"/>
    <mergeCell ref="C7:G7"/>
    <mergeCell ref="A9:J9"/>
    <mergeCell ref="A10:J10"/>
    <mergeCell ref="A11:J11"/>
    <mergeCell ref="A13:J13"/>
    <mergeCell ref="A15:J15"/>
    <mergeCell ref="A23:J23"/>
    <mergeCell ref="A25:J25"/>
    <mergeCell ref="G62:J62"/>
    <mergeCell ref="A59:B59"/>
    <mergeCell ref="C59:F59"/>
    <mergeCell ref="G59:J59"/>
    <mergeCell ref="A60:B60"/>
    <mergeCell ref="C60:F60"/>
    <mergeCell ref="G60:J60"/>
    <mergeCell ref="A66:J66"/>
    <mergeCell ref="A65:B65"/>
    <mergeCell ref="C65:F65"/>
    <mergeCell ref="G65:J65"/>
    <mergeCell ref="A63:B63"/>
    <mergeCell ref="C63:F63"/>
    <mergeCell ref="G63:J63"/>
    <mergeCell ref="A64:B64"/>
    <mergeCell ref="C64:F64"/>
    <mergeCell ref="G64:J64"/>
    <mergeCell ref="A68:B68"/>
    <mergeCell ref="C68:G68"/>
    <mergeCell ref="A70:B70"/>
    <mergeCell ref="C70:G70"/>
    <mergeCell ref="A72:J72"/>
    <mergeCell ref="A73:B73"/>
    <mergeCell ref="C73:D73"/>
    <mergeCell ref="E73:F73"/>
    <mergeCell ref="G73:H73"/>
    <mergeCell ref="I73:J73"/>
    <mergeCell ref="A74:B74"/>
    <mergeCell ref="C74:D74"/>
    <mergeCell ref="E74:F74"/>
    <mergeCell ref="G74:H74"/>
    <mergeCell ref="I74:J74"/>
    <mergeCell ref="A75:B75"/>
    <mergeCell ref="C75:D75"/>
    <mergeCell ref="E75:F75"/>
    <mergeCell ref="G75:H75"/>
    <mergeCell ref="I75:J75"/>
    <mergeCell ref="A79:J79"/>
    <mergeCell ref="A81:B81"/>
    <mergeCell ref="C81:G81"/>
    <mergeCell ref="A82:B82"/>
    <mergeCell ref="C82:G82"/>
    <mergeCell ref="A83:B83"/>
    <mergeCell ref="C83:G83"/>
    <mergeCell ref="A76:B76"/>
    <mergeCell ref="C76:D76"/>
    <mergeCell ref="E76:F76"/>
    <mergeCell ref="G76:H76"/>
    <mergeCell ref="I76:J76"/>
    <mergeCell ref="A77:B77"/>
    <mergeCell ref="C77:D77"/>
    <mergeCell ref="E77:F77"/>
    <mergeCell ref="G77:H77"/>
    <mergeCell ref="I77:J77"/>
    <mergeCell ref="C90:D90"/>
    <mergeCell ref="E90:J90"/>
    <mergeCell ref="C95:D95"/>
    <mergeCell ref="E95:J95"/>
    <mergeCell ref="C101:D101"/>
    <mergeCell ref="E101:J101"/>
    <mergeCell ref="A85:B85"/>
    <mergeCell ref="C85:J85"/>
    <mergeCell ref="A86:B90"/>
    <mergeCell ref="D86:J86"/>
    <mergeCell ref="D87:J87"/>
    <mergeCell ref="D88:J88"/>
    <mergeCell ref="D89:J89"/>
    <mergeCell ref="A96:B101"/>
    <mergeCell ref="D96:J96"/>
    <mergeCell ref="D97:J97"/>
    <mergeCell ref="D98:J98"/>
    <mergeCell ref="D100:J100"/>
    <mergeCell ref="D99:J99"/>
    <mergeCell ref="A91:B95"/>
    <mergeCell ref="D91:J91"/>
    <mergeCell ref="D92:J92"/>
    <mergeCell ref="D93:J93"/>
    <mergeCell ref="D94:J94"/>
    <mergeCell ref="I110:J110"/>
    <mergeCell ref="A110:C110"/>
    <mergeCell ref="D110:F110"/>
    <mergeCell ref="A115:J115"/>
    <mergeCell ref="A117:D117"/>
    <mergeCell ref="B104:J104"/>
    <mergeCell ref="B106:J106"/>
    <mergeCell ref="A108:C108"/>
    <mergeCell ref="D108:F108"/>
    <mergeCell ref="I108:J108"/>
    <mergeCell ref="F117:J117"/>
    <mergeCell ref="F118:J118"/>
    <mergeCell ref="F119:J119"/>
    <mergeCell ref="F121:J121"/>
    <mergeCell ref="F127:J127"/>
    <mergeCell ref="F136:J136"/>
    <mergeCell ref="A137:D137"/>
    <mergeCell ref="F137:J137"/>
    <mergeCell ref="A121:D121"/>
    <mergeCell ref="A118:D118"/>
    <mergeCell ref="A119:D119"/>
    <mergeCell ref="A120:D120"/>
    <mergeCell ref="F120:G120"/>
    <mergeCell ref="I120:J120"/>
    <mergeCell ref="A122:D126"/>
    <mergeCell ref="E122:J122"/>
    <mergeCell ref="F123:J123"/>
    <mergeCell ref="F124:J124"/>
    <mergeCell ref="F125:J125"/>
    <mergeCell ref="F126:J126"/>
    <mergeCell ref="A127:D129"/>
    <mergeCell ref="F128:J128"/>
    <mergeCell ref="F129:J129"/>
    <mergeCell ref="A131:D136"/>
    <mergeCell ref="F130:J130"/>
    <mergeCell ref="A130:D130"/>
    <mergeCell ref="A143:J143"/>
    <mergeCell ref="A145:B145"/>
    <mergeCell ref="A146:B146"/>
    <mergeCell ref="A152:C152"/>
    <mergeCell ref="D152:F152"/>
    <mergeCell ref="G152:J152"/>
    <mergeCell ref="A154:J154"/>
    <mergeCell ref="A155:J155"/>
    <mergeCell ref="F132:J132"/>
    <mergeCell ref="F133:J133"/>
    <mergeCell ref="F134:J134"/>
    <mergeCell ref="F135:J135"/>
    <mergeCell ref="E131:J131"/>
    <mergeCell ref="A147:B147"/>
    <mergeCell ref="G145:I145"/>
    <mergeCell ref="A149:C149"/>
    <mergeCell ref="D149:F149"/>
    <mergeCell ref="G149:J149"/>
    <mergeCell ref="C146:F146"/>
    <mergeCell ref="C147:F147"/>
    <mergeCell ref="A156:J156"/>
    <mergeCell ref="A150:C150"/>
    <mergeCell ref="D150:F150"/>
    <mergeCell ref="G150:J150"/>
    <mergeCell ref="A151:C151"/>
    <mergeCell ref="D151:F151"/>
    <mergeCell ref="G151:J151"/>
    <mergeCell ref="A165:C165"/>
    <mergeCell ref="D165:F165"/>
    <mergeCell ref="I165:J165"/>
    <mergeCell ref="A169:J169"/>
    <mergeCell ref="A171:B171"/>
    <mergeCell ref="C171:D171"/>
    <mergeCell ref="E171:G171"/>
    <mergeCell ref="H171:J171"/>
    <mergeCell ref="A158:J158"/>
    <mergeCell ref="A159:J159"/>
    <mergeCell ref="B161:J161"/>
    <mergeCell ref="A163:C163"/>
    <mergeCell ref="D163:F163"/>
    <mergeCell ref="I163:J163"/>
    <mergeCell ref="A177:J177"/>
    <mergeCell ref="A175:B176"/>
    <mergeCell ref="C175:G176"/>
    <mergeCell ref="H175:H176"/>
    <mergeCell ref="A178:J178"/>
    <mergeCell ref="I174:J174"/>
    <mergeCell ref="A172:B174"/>
    <mergeCell ref="C172:D174"/>
    <mergeCell ref="E172:G174"/>
    <mergeCell ref="A179:J179"/>
    <mergeCell ref="A180:J180"/>
    <mergeCell ref="A181:J181"/>
    <mergeCell ref="A182:J182"/>
    <mergeCell ref="A183:B183"/>
    <mergeCell ref="C183:D183"/>
    <mergeCell ref="E183:F183"/>
    <mergeCell ref="G183:H183"/>
    <mergeCell ref="I183:J183"/>
    <mergeCell ref="A184:B185"/>
    <mergeCell ref="A186:J186"/>
    <mergeCell ref="B187:C187"/>
    <mergeCell ref="E187:F187"/>
    <mergeCell ref="G187:H187"/>
    <mergeCell ref="I187:J187"/>
    <mergeCell ref="C184:D184"/>
    <mergeCell ref="E184:F184"/>
    <mergeCell ref="G184:H184"/>
    <mergeCell ref="I184:J184"/>
    <mergeCell ref="C185:D185"/>
    <mergeCell ref="E185:F185"/>
    <mergeCell ref="G185:H185"/>
    <mergeCell ref="I185:J185"/>
    <mergeCell ref="A193:J193"/>
    <mergeCell ref="A195:B195"/>
    <mergeCell ref="A196:B196"/>
    <mergeCell ref="A197:B197"/>
    <mergeCell ref="G195:H195"/>
    <mergeCell ref="A199:J199"/>
    <mergeCell ref="B188:C188"/>
    <mergeCell ref="E188:F188"/>
    <mergeCell ref="G188:H188"/>
    <mergeCell ref="I188:J188"/>
    <mergeCell ref="A189:J189"/>
    <mergeCell ref="H190:J190"/>
    <mergeCell ref="H191:J191"/>
    <mergeCell ref="C197:F197"/>
    <mergeCell ref="C195:F195"/>
    <mergeCell ref="C196:F196"/>
    <mergeCell ref="I195:J195"/>
    <mergeCell ref="A190:C191"/>
    <mergeCell ref="E190:F190"/>
    <mergeCell ref="E191:F191"/>
    <mergeCell ref="A207:J207"/>
    <mergeCell ref="A208:J208"/>
    <mergeCell ref="A210:J210"/>
    <mergeCell ref="A201:J201"/>
    <mergeCell ref="A202:J202"/>
    <mergeCell ref="A203:J203"/>
    <mergeCell ref="A204:J204"/>
    <mergeCell ref="A205:J205"/>
    <mergeCell ref="A206:J206"/>
  </mergeCells>
  <dataValidations count="1">
    <dataValidation type="list" allowBlank="1" showInputMessage="1" showErrorMessage="1" sqref="C86:C89 C91:C94 C96:C100 A104 A106 E123:E125 E132:E135 E127:E128 A161 I172:I173 J175:J176">
      <formula1>"---,X"</formula1>
    </dataValidation>
  </dataValidations>
  <pageMargins left="0.7" right="0.7" top="0.92708333333333337" bottom="0.75" header="0.3" footer="0.3"/>
  <pageSetup scale="98" fitToHeight="0" orientation="portrait" horizontalDpi="300" r:id="rId1"/>
  <headerFooter>
    <oddHeader>&amp;L
&amp;CSGO#1 SIMPLE FORM</oddHeader>
  </headerFooter>
  <rowBreaks count="7" manualBreakCount="7">
    <brk id="25" max="16383" man="1"/>
    <brk id="65" max="16383" man="1"/>
    <brk id="78" max="16383" man="1"/>
    <brk id="113" max="16383" man="1"/>
    <brk id="141" max="16383" man="1"/>
    <brk id="167" max="16383" man="1"/>
    <brk id="19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59999389629810485"/>
    <pageSetUpPr fitToPage="1"/>
  </sheetPr>
  <dimension ref="A1:J222"/>
  <sheetViews>
    <sheetView view="pageLayout" zoomScaleNormal="100" workbookViewId="0">
      <selection activeCell="G38" sqref="G38:J38"/>
    </sheetView>
  </sheetViews>
  <sheetFormatPr defaultRowHeight="15" x14ac:dyDescent="0.25"/>
  <sheetData>
    <row r="1" spans="1:10" ht="42.75" customHeight="1" x14ac:dyDescent="0.25">
      <c r="A1" s="208" t="s">
        <v>341</v>
      </c>
      <c r="B1" s="326"/>
      <c r="C1" s="326"/>
      <c r="D1" s="326"/>
      <c r="E1" s="326"/>
      <c r="F1" s="326"/>
      <c r="G1" s="326"/>
      <c r="H1" s="326"/>
      <c r="I1" s="326"/>
      <c r="J1" s="326"/>
    </row>
    <row r="3" spans="1:10" x14ac:dyDescent="0.25">
      <c r="A3" s="210" t="s">
        <v>340</v>
      </c>
      <c r="B3" s="210"/>
      <c r="C3" s="223"/>
      <c r="D3" s="223"/>
      <c r="E3" s="84" t="s">
        <v>339</v>
      </c>
      <c r="F3" s="223"/>
      <c r="G3" s="223"/>
    </row>
    <row r="4" spans="1:10" x14ac:dyDescent="0.25">
      <c r="A4" s="93"/>
      <c r="B4" s="93"/>
      <c r="C4" s="73"/>
    </row>
    <row r="5" spans="1:10" x14ac:dyDescent="0.25">
      <c r="A5" s="210" t="s">
        <v>204</v>
      </c>
      <c r="B5" s="210"/>
      <c r="C5" s="223"/>
      <c r="D5" s="223"/>
      <c r="E5" s="223"/>
      <c r="F5" s="223"/>
      <c r="G5" s="223"/>
    </row>
    <row r="6" spans="1:10" x14ac:dyDescent="0.25">
      <c r="A6" s="93"/>
      <c r="B6" s="93"/>
      <c r="C6" s="73"/>
    </row>
    <row r="7" spans="1:10" x14ac:dyDescent="0.25">
      <c r="A7" s="210" t="s">
        <v>205</v>
      </c>
      <c r="B7" s="210"/>
      <c r="C7" s="223"/>
      <c r="D7" s="223"/>
      <c r="E7" s="223"/>
      <c r="F7" s="223"/>
      <c r="G7" s="223"/>
    </row>
    <row r="9" spans="1:10" ht="54" customHeight="1" x14ac:dyDescent="0.25">
      <c r="A9" s="207" t="s">
        <v>206</v>
      </c>
      <c r="B9" s="207"/>
      <c r="C9" s="207"/>
      <c r="D9" s="207"/>
      <c r="E9" s="207"/>
      <c r="F9" s="207"/>
      <c r="G9" s="207"/>
      <c r="H9" s="207"/>
      <c r="I9" s="207"/>
      <c r="J9" s="207"/>
    </row>
    <row r="10" spans="1:10" ht="11.25" customHeight="1" x14ac:dyDescent="0.25">
      <c r="A10" s="207"/>
      <c r="B10" s="207"/>
      <c r="C10" s="207"/>
      <c r="D10" s="207"/>
      <c r="E10" s="207"/>
      <c r="F10" s="207"/>
      <c r="G10" s="207"/>
      <c r="H10" s="207"/>
      <c r="I10" s="207"/>
      <c r="J10" s="207"/>
    </row>
    <row r="11" spans="1:10" ht="63.75" customHeight="1" x14ac:dyDescent="0.25">
      <c r="A11" s="207" t="s">
        <v>207</v>
      </c>
      <c r="B11" s="207"/>
      <c r="C11" s="207"/>
      <c r="D11" s="207"/>
      <c r="E11" s="207"/>
      <c r="F11" s="207"/>
      <c r="G11" s="207"/>
      <c r="H11" s="207"/>
      <c r="I11" s="207"/>
      <c r="J11" s="207"/>
    </row>
    <row r="12" spans="1:10" ht="10.5" customHeight="1" x14ac:dyDescent="0.25">
      <c r="A12" s="74"/>
      <c r="B12" s="74"/>
      <c r="C12" s="74"/>
      <c r="D12" s="74"/>
      <c r="E12" s="74"/>
      <c r="F12" s="74"/>
      <c r="G12" s="74"/>
      <c r="H12" s="74"/>
      <c r="I12" s="74"/>
      <c r="J12" s="74"/>
    </row>
    <row r="13" spans="1:10" ht="67.5" customHeight="1" x14ac:dyDescent="0.25">
      <c r="A13" s="207" t="s">
        <v>208</v>
      </c>
      <c r="B13" s="207"/>
      <c r="C13" s="207"/>
      <c r="D13" s="207"/>
      <c r="E13" s="207"/>
      <c r="F13" s="207"/>
      <c r="G13" s="207"/>
      <c r="H13" s="207"/>
      <c r="I13" s="207"/>
      <c r="J13" s="207"/>
    </row>
    <row r="14" spans="1:10" ht="9.75" customHeight="1" x14ac:dyDescent="0.25">
      <c r="A14" s="74"/>
      <c r="B14" s="74"/>
      <c r="C14" s="74"/>
      <c r="D14" s="74"/>
      <c r="E14" s="74"/>
      <c r="F14" s="74"/>
      <c r="G14" s="74"/>
      <c r="H14" s="74"/>
      <c r="I14" s="74"/>
      <c r="J14" s="74"/>
    </row>
    <row r="15" spans="1:10" ht="55.5" customHeight="1" x14ac:dyDescent="0.25">
      <c r="A15" s="207" t="s">
        <v>209</v>
      </c>
      <c r="B15" s="207"/>
      <c r="C15" s="207"/>
      <c r="D15" s="207"/>
      <c r="E15" s="207"/>
      <c r="F15" s="207"/>
      <c r="G15" s="207"/>
      <c r="H15" s="207"/>
      <c r="I15" s="207"/>
      <c r="J15" s="207"/>
    </row>
    <row r="16" spans="1:10" ht="8.25" customHeight="1" x14ac:dyDescent="0.25">
      <c r="A16" s="74"/>
      <c r="B16" s="74"/>
      <c r="C16" s="74"/>
      <c r="D16" s="74"/>
      <c r="E16" s="74"/>
      <c r="F16" s="74"/>
      <c r="G16" s="74"/>
      <c r="H16" s="74"/>
      <c r="I16" s="74"/>
      <c r="J16" s="74"/>
    </row>
    <row r="17" spans="1:10" x14ac:dyDescent="0.25">
      <c r="A17" s="76" t="s">
        <v>210</v>
      </c>
      <c r="B17" s="74"/>
      <c r="C17" s="74"/>
      <c r="D17" s="74"/>
      <c r="E17" s="74"/>
      <c r="F17" s="74"/>
      <c r="G17" s="74"/>
      <c r="H17" s="74"/>
      <c r="I17" s="74"/>
      <c r="J17" s="74"/>
    </row>
    <row r="18" spans="1:10" x14ac:dyDescent="0.25">
      <c r="A18" s="76" t="s">
        <v>211</v>
      </c>
      <c r="B18" s="74"/>
      <c r="C18" s="74"/>
      <c r="D18" s="74"/>
      <c r="E18" s="74"/>
      <c r="F18" s="74"/>
      <c r="G18" s="74"/>
      <c r="H18" s="74"/>
      <c r="I18" s="74"/>
      <c r="J18" s="74"/>
    </row>
    <row r="19" spans="1:10" x14ac:dyDescent="0.25">
      <c r="A19" s="76" t="s">
        <v>212</v>
      </c>
      <c r="B19" s="74"/>
      <c r="C19" s="74"/>
      <c r="D19" s="74"/>
      <c r="E19" s="74"/>
      <c r="F19" s="74"/>
      <c r="G19" s="74"/>
      <c r="H19" s="74"/>
      <c r="I19" s="74"/>
      <c r="J19" s="74"/>
    </row>
    <row r="20" spans="1:10" x14ac:dyDescent="0.25">
      <c r="A20" s="76" t="s">
        <v>213</v>
      </c>
      <c r="B20" s="74"/>
      <c r="C20" s="74"/>
      <c r="D20" s="74"/>
      <c r="E20" s="74"/>
      <c r="F20" s="74"/>
      <c r="G20" s="74"/>
      <c r="H20" s="74"/>
      <c r="I20" s="74"/>
      <c r="J20" s="74"/>
    </row>
    <row r="21" spans="1:10" x14ac:dyDescent="0.25">
      <c r="A21" s="76" t="s">
        <v>214</v>
      </c>
      <c r="B21" s="74"/>
      <c r="C21" s="74"/>
      <c r="D21" s="74"/>
      <c r="E21" s="74"/>
      <c r="F21" s="74"/>
      <c r="G21" s="74"/>
      <c r="H21" s="74"/>
      <c r="I21" s="74"/>
      <c r="J21" s="74"/>
    </row>
    <row r="22" spans="1:10" ht="10.5" customHeight="1" x14ac:dyDescent="0.25">
      <c r="A22" s="74"/>
      <c r="B22" s="74"/>
      <c r="C22" s="74"/>
      <c r="D22" s="74"/>
      <c r="E22" s="74"/>
      <c r="F22" s="74"/>
      <c r="G22" s="74"/>
      <c r="H22" s="74"/>
      <c r="I22" s="74"/>
      <c r="J22" s="74"/>
    </row>
    <row r="23" spans="1:10" ht="34.5" customHeight="1" x14ac:dyDescent="0.25">
      <c r="A23" s="207" t="s">
        <v>215</v>
      </c>
      <c r="B23" s="207"/>
      <c r="C23" s="207"/>
      <c r="D23" s="207"/>
      <c r="E23" s="207"/>
      <c r="F23" s="207"/>
      <c r="G23" s="207"/>
      <c r="H23" s="207"/>
      <c r="I23" s="207"/>
      <c r="J23" s="207"/>
    </row>
    <row r="24" spans="1:10" ht="9.75" customHeight="1" x14ac:dyDescent="0.25">
      <c r="A24" s="74"/>
      <c r="B24" s="74"/>
      <c r="C24" s="74"/>
      <c r="D24" s="74"/>
      <c r="E24" s="74"/>
      <c r="F24" s="74"/>
      <c r="G24" s="74"/>
      <c r="H24" s="74"/>
      <c r="I24" s="74"/>
      <c r="J24" s="74"/>
    </row>
    <row r="25" spans="1:10" ht="51.75" customHeight="1" x14ac:dyDescent="0.25">
      <c r="A25" s="207" t="s">
        <v>216</v>
      </c>
      <c r="B25" s="207"/>
      <c r="C25" s="207"/>
      <c r="D25" s="207"/>
      <c r="E25" s="207"/>
      <c r="F25" s="207"/>
      <c r="G25" s="207"/>
      <c r="H25" s="207"/>
      <c r="I25" s="207"/>
      <c r="J25" s="207"/>
    </row>
    <row r="26" spans="1:10" x14ac:dyDescent="0.25">
      <c r="A26" s="74"/>
      <c r="B26" s="74"/>
      <c r="C26" s="74"/>
      <c r="D26" s="74"/>
      <c r="E26" s="74"/>
      <c r="F26" s="74"/>
      <c r="G26" s="74"/>
      <c r="H26" s="74"/>
      <c r="I26" s="74"/>
      <c r="J26" s="74"/>
    </row>
    <row r="27" spans="1:10" ht="41.25" customHeight="1" x14ac:dyDescent="0.25">
      <c r="A27" s="208" t="s">
        <v>217</v>
      </c>
      <c r="B27" s="208"/>
      <c r="C27" s="208"/>
      <c r="D27" s="208"/>
      <c r="E27" s="208"/>
      <c r="F27" s="208"/>
      <c r="G27" s="208"/>
      <c r="H27" s="208"/>
      <c r="I27" s="208"/>
      <c r="J27" s="208"/>
    </row>
    <row r="28" spans="1:10" x14ac:dyDescent="0.25">
      <c r="A28" s="74"/>
      <c r="B28" s="74"/>
      <c r="C28" s="74"/>
      <c r="D28" s="74"/>
      <c r="E28" s="74"/>
      <c r="F28" s="74"/>
      <c r="G28" s="74"/>
      <c r="H28" s="74"/>
      <c r="I28" s="74"/>
      <c r="J28" s="74"/>
    </row>
    <row r="29" spans="1:10" x14ac:dyDescent="0.25">
      <c r="A29" s="210" t="s">
        <v>203</v>
      </c>
      <c r="B29" s="210"/>
      <c r="C29" s="327">
        <f>C3</f>
        <v>0</v>
      </c>
      <c r="D29" s="327"/>
      <c r="E29" s="327"/>
      <c r="F29" s="327"/>
      <c r="G29" s="327"/>
    </row>
    <row r="30" spans="1:10" x14ac:dyDescent="0.25">
      <c r="A30" s="93"/>
      <c r="B30" s="93"/>
      <c r="C30" s="95"/>
      <c r="D30" s="64"/>
      <c r="E30" s="64"/>
      <c r="F30" s="64"/>
      <c r="G30" s="64"/>
    </row>
    <row r="31" spans="1:10" x14ac:dyDescent="0.25">
      <c r="A31" s="210" t="s">
        <v>204</v>
      </c>
      <c r="B31" s="210"/>
      <c r="C31" s="321">
        <f>C5</f>
        <v>0</v>
      </c>
      <c r="D31" s="321"/>
      <c r="E31" s="321"/>
      <c r="F31" s="321"/>
      <c r="G31" s="321"/>
    </row>
    <row r="33" spans="1:10" ht="63" customHeight="1" x14ac:dyDescent="0.25">
      <c r="A33" s="207" t="s">
        <v>218</v>
      </c>
      <c r="B33" s="207"/>
      <c r="C33" s="207"/>
      <c r="D33" s="207"/>
      <c r="E33" s="207"/>
      <c r="F33" s="207"/>
      <c r="G33" s="207"/>
      <c r="H33" s="207"/>
      <c r="I33" s="207"/>
      <c r="J33" s="207"/>
    </row>
    <row r="35" spans="1:10" ht="30.75" customHeight="1" x14ac:dyDescent="0.25">
      <c r="A35" s="328" t="s">
        <v>219</v>
      </c>
      <c r="B35" s="328"/>
      <c r="C35" s="328" t="s">
        <v>220</v>
      </c>
      <c r="D35" s="328"/>
      <c r="E35" s="328"/>
      <c r="F35" s="328"/>
      <c r="G35" s="328" t="s">
        <v>221</v>
      </c>
      <c r="H35" s="328"/>
      <c r="I35" s="328"/>
      <c r="J35" s="328"/>
    </row>
    <row r="36" spans="1:10" ht="24" customHeight="1" x14ac:dyDescent="0.25">
      <c r="A36" s="217"/>
      <c r="B36" s="217"/>
      <c r="C36" s="217"/>
      <c r="D36" s="217"/>
      <c r="E36" s="217"/>
      <c r="F36" s="217"/>
      <c r="G36" s="217"/>
      <c r="H36" s="217"/>
      <c r="I36" s="217"/>
      <c r="J36" s="217"/>
    </row>
    <row r="37" spans="1:10" s="121" customFormat="1" ht="24" customHeight="1" x14ac:dyDescent="0.25">
      <c r="A37" s="247"/>
      <c r="B37" s="248"/>
      <c r="C37" s="247"/>
      <c r="D37" s="329"/>
      <c r="E37" s="329"/>
      <c r="F37" s="248"/>
      <c r="G37" s="247"/>
      <c r="H37" s="329"/>
      <c r="I37" s="329"/>
      <c r="J37" s="248"/>
    </row>
    <row r="38" spans="1:10" s="121" customFormat="1" ht="24" customHeight="1" x14ac:dyDescent="0.25">
      <c r="A38" s="247"/>
      <c r="B38" s="248"/>
      <c r="C38" s="247"/>
      <c r="D38" s="329"/>
      <c r="E38" s="329"/>
      <c r="F38" s="248"/>
      <c r="G38" s="247"/>
      <c r="H38" s="329"/>
      <c r="I38" s="329"/>
      <c r="J38" s="248"/>
    </row>
    <row r="39" spans="1:10" s="121" customFormat="1" ht="24" customHeight="1" x14ac:dyDescent="0.25">
      <c r="A39" s="247"/>
      <c r="B39" s="248"/>
      <c r="C39" s="247"/>
      <c r="D39" s="329"/>
      <c r="E39" s="329"/>
      <c r="F39" s="248"/>
      <c r="G39" s="247"/>
      <c r="H39" s="329"/>
      <c r="I39" s="329"/>
      <c r="J39" s="248"/>
    </row>
    <row r="40" spans="1:10" s="121" customFormat="1" ht="24" customHeight="1" x14ac:dyDescent="0.25">
      <c r="A40" s="247"/>
      <c r="B40" s="248"/>
      <c r="C40" s="247"/>
      <c r="D40" s="329"/>
      <c r="E40" s="329"/>
      <c r="F40" s="248"/>
      <c r="G40" s="247"/>
      <c r="H40" s="329"/>
      <c r="I40" s="329"/>
      <c r="J40" s="248"/>
    </row>
    <row r="41" spans="1:10" s="121" customFormat="1" ht="24" customHeight="1" x14ac:dyDescent="0.25">
      <c r="A41" s="247"/>
      <c r="B41" s="248"/>
      <c r="C41" s="247"/>
      <c r="D41" s="329"/>
      <c r="E41" s="329"/>
      <c r="F41" s="248"/>
      <c r="G41" s="247"/>
      <c r="H41" s="329"/>
      <c r="I41" s="329"/>
      <c r="J41" s="248"/>
    </row>
    <row r="42" spans="1:10" s="121" customFormat="1" ht="24" customHeight="1" x14ac:dyDescent="0.25">
      <c r="A42" s="247"/>
      <c r="B42" s="248"/>
      <c r="C42" s="247"/>
      <c r="D42" s="329"/>
      <c r="E42" s="329"/>
      <c r="F42" s="248"/>
      <c r="G42" s="247"/>
      <c r="H42" s="329"/>
      <c r="I42" s="329"/>
      <c r="J42" s="248"/>
    </row>
    <row r="43" spans="1:10" s="121" customFormat="1" ht="24" customHeight="1" x14ac:dyDescent="0.25">
      <c r="A43" s="247"/>
      <c r="B43" s="248"/>
      <c r="C43" s="247"/>
      <c r="D43" s="329"/>
      <c r="E43" s="329"/>
      <c r="F43" s="248"/>
      <c r="G43" s="247"/>
      <c r="H43" s="329"/>
      <c r="I43" s="329"/>
      <c r="J43" s="248"/>
    </row>
    <row r="44" spans="1:10" s="121" customFormat="1" ht="24" customHeight="1" x14ac:dyDescent="0.25">
      <c r="A44" s="247"/>
      <c r="B44" s="248"/>
      <c r="C44" s="247"/>
      <c r="D44" s="329"/>
      <c r="E44" s="329"/>
      <c r="F44" s="248"/>
      <c r="G44" s="247"/>
      <c r="H44" s="329"/>
      <c r="I44" s="329"/>
      <c r="J44" s="248"/>
    </row>
    <row r="45" spans="1:10" s="121" customFormat="1" ht="24" customHeight="1" x14ac:dyDescent="0.25">
      <c r="A45" s="247"/>
      <c r="B45" s="248"/>
      <c r="C45" s="247"/>
      <c r="D45" s="329"/>
      <c r="E45" s="329"/>
      <c r="F45" s="248"/>
      <c r="G45" s="247"/>
      <c r="H45" s="329"/>
      <c r="I45" s="329"/>
      <c r="J45" s="248"/>
    </row>
    <row r="46" spans="1:10" s="121" customFormat="1" ht="24" customHeight="1" x14ac:dyDescent="0.25">
      <c r="A46" s="247"/>
      <c r="B46" s="248"/>
      <c r="C46" s="247"/>
      <c r="D46" s="329"/>
      <c r="E46" s="329"/>
      <c r="F46" s="248"/>
      <c r="G46" s="247"/>
      <c r="H46" s="329"/>
      <c r="I46" s="329"/>
      <c r="J46" s="248"/>
    </row>
    <row r="47" spans="1:10" s="121" customFormat="1" ht="24" customHeight="1" x14ac:dyDescent="0.25">
      <c r="A47" s="247"/>
      <c r="B47" s="248"/>
      <c r="C47" s="247"/>
      <c r="D47" s="329"/>
      <c r="E47" s="329"/>
      <c r="F47" s="248"/>
      <c r="G47" s="247"/>
      <c r="H47" s="329"/>
      <c r="I47" s="329"/>
      <c r="J47" s="248"/>
    </row>
    <row r="48" spans="1:10" s="121" customFormat="1" ht="24" customHeight="1" x14ac:dyDescent="0.25">
      <c r="A48" s="247"/>
      <c r="B48" s="248"/>
      <c r="C48" s="247"/>
      <c r="D48" s="329"/>
      <c r="E48" s="329"/>
      <c r="F48" s="248"/>
      <c r="G48" s="247"/>
      <c r="H48" s="329"/>
      <c r="I48" s="329"/>
      <c r="J48" s="248"/>
    </row>
    <row r="49" spans="1:10" s="121" customFormat="1" ht="24" customHeight="1" x14ac:dyDescent="0.25">
      <c r="A49" s="247"/>
      <c r="B49" s="248"/>
      <c r="C49" s="247"/>
      <c r="D49" s="329"/>
      <c r="E49" s="329"/>
      <c r="F49" s="248"/>
      <c r="G49" s="247"/>
      <c r="H49" s="329"/>
      <c r="I49" s="329"/>
      <c r="J49" s="248"/>
    </row>
    <row r="50" spans="1:10" s="121" customFormat="1" ht="24" customHeight="1" x14ac:dyDescent="0.25">
      <c r="A50" s="247"/>
      <c r="B50" s="248"/>
      <c r="C50" s="247"/>
      <c r="D50" s="329"/>
      <c r="E50" s="329"/>
      <c r="F50" s="248"/>
      <c r="G50" s="247"/>
      <c r="H50" s="329"/>
      <c r="I50" s="329"/>
      <c r="J50" s="248"/>
    </row>
    <row r="51" spans="1:10" ht="24" customHeight="1" x14ac:dyDescent="0.25">
      <c r="A51" s="217"/>
      <c r="B51" s="217"/>
      <c r="C51" s="217"/>
      <c r="D51" s="217"/>
      <c r="E51" s="217"/>
      <c r="F51" s="217"/>
      <c r="G51" s="217"/>
      <c r="H51" s="217"/>
      <c r="I51" s="217"/>
      <c r="J51" s="217"/>
    </row>
    <row r="52" spans="1:10" ht="24" customHeight="1" x14ac:dyDescent="0.25">
      <c r="A52" s="217"/>
      <c r="B52" s="217"/>
      <c r="C52" s="217"/>
      <c r="D52" s="217"/>
      <c r="E52" s="217"/>
      <c r="F52" s="217"/>
      <c r="G52" s="217"/>
      <c r="H52" s="217"/>
      <c r="I52" s="217"/>
      <c r="J52" s="217"/>
    </row>
    <row r="53" spans="1:10" ht="24" customHeight="1" x14ac:dyDescent="0.25">
      <c r="A53" s="217"/>
      <c r="B53" s="217"/>
      <c r="C53" s="217"/>
      <c r="D53" s="217"/>
      <c r="E53" s="217"/>
      <c r="F53" s="217"/>
      <c r="G53" s="217"/>
      <c r="H53" s="217"/>
      <c r="I53" s="217"/>
      <c r="J53" s="217"/>
    </row>
    <row r="54" spans="1:10" ht="24" customHeight="1" x14ac:dyDescent="0.25">
      <c r="A54" s="217"/>
      <c r="B54" s="217"/>
      <c r="C54" s="217"/>
      <c r="D54" s="217"/>
      <c r="E54" s="217"/>
      <c r="F54" s="217"/>
      <c r="G54" s="217"/>
      <c r="H54" s="217"/>
      <c r="I54" s="217"/>
      <c r="J54" s="217"/>
    </row>
    <row r="55" spans="1:10" ht="24" customHeight="1" x14ac:dyDescent="0.25">
      <c r="A55" s="217"/>
      <c r="B55" s="217"/>
      <c r="C55" s="217"/>
      <c r="D55" s="217"/>
      <c r="E55" s="217"/>
      <c r="F55" s="217"/>
      <c r="G55" s="217"/>
      <c r="H55" s="217"/>
      <c r="I55" s="217"/>
      <c r="J55" s="217"/>
    </row>
    <row r="56" spans="1:10" ht="24" customHeight="1" x14ac:dyDescent="0.25">
      <c r="A56" s="217"/>
      <c r="B56" s="217"/>
      <c r="C56" s="217"/>
      <c r="D56" s="217"/>
      <c r="E56" s="217"/>
      <c r="F56" s="217"/>
      <c r="G56" s="217"/>
      <c r="H56" s="217"/>
      <c r="I56" s="217"/>
      <c r="J56" s="217"/>
    </row>
    <row r="57" spans="1:10" ht="24" customHeight="1" x14ac:dyDescent="0.25">
      <c r="A57" s="217"/>
      <c r="B57" s="217"/>
      <c r="C57" s="217"/>
      <c r="D57" s="217"/>
      <c r="E57" s="217"/>
      <c r="F57" s="217"/>
      <c r="G57" s="217"/>
      <c r="H57" s="217"/>
      <c r="I57" s="217"/>
      <c r="J57" s="217"/>
    </row>
    <row r="58" spans="1:10" ht="24" customHeight="1" x14ac:dyDescent="0.25">
      <c r="A58" s="217"/>
      <c r="B58" s="217"/>
      <c r="C58" s="217"/>
      <c r="D58" s="217"/>
      <c r="E58" s="217"/>
      <c r="F58" s="217"/>
      <c r="G58" s="217"/>
      <c r="H58" s="217"/>
      <c r="I58" s="217"/>
      <c r="J58" s="217"/>
    </row>
    <row r="59" spans="1:10" ht="24" customHeight="1" x14ac:dyDescent="0.25">
      <c r="A59" s="217"/>
      <c r="B59" s="217"/>
      <c r="C59" s="217"/>
      <c r="D59" s="217"/>
      <c r="E59" s="217"/>
      <c r="F59" s="217"/>
      <c r="G59" s="217"/>
      <c r="H59" s="217"/>
      <c r="I59" s="217"/>
      <c r="J59" s="217"/>
    </row>
    <row r="60" spans="1:10" ht="24" customHeight="1" x14ac:dyDescent="0.25">
      <c r="A60" s="217"/>
      <c r="B60" s="217"/>
      <c r="C60" s="217"/>
      <c r="D60" s="217"/>
      <c r="E60" s="217"/>
      <c r="F60" s="217"/>
      <c r="G60" s="217"/>
      <c r="H60" s="217"/>
      <c r="I60" s="217"/>
      <c r="J60" s="217"/>
    </row>
    <row r="61" spans="1:10" ht="24" customHeight="1" x14ac:dyDescent="0.25">
      <c r="A61" s="217"/>
      <c r="B61" s="217"/>
      <c r="C61" s="217"/>
      <c r="D61" s="217"/>
      <c r="E61" s="217"/>
      <c r="F61" s="217"/>
      <c r="G61" s="217"/>
      <c r="H61" s="217"/>
      <c r="I61" s="217"/>
      <c r="J61" s="217"/>
    </row>
    <row r="62" spans="1:10" ht="24" customHeight="1" x14ac:dyDescent="0.25">
      <c r="A62" s="217"/>
      <c r="B62" s="217"/>
      <c r="C62" s="217"/>
      <c r="D62" s="217"/>
      <c r="E62" s="217"/>
      <c r="F62" s="217"/>
      <c r="G62" s="217"/>
      <c r="H62" s="217"/>
      <c r="I62" s="217"/>
      <c r="J62" s="217"/>
    </row>
    <row r="63" spans="1:10" ht="24" customHeight="1" x14ac:dyDescent="0.25">
      <c r="A63" s="217"/>
      <c r="B63" s="217"/>
      <c r="C63" s="217"/>
      <c r="D63" s="217"/>
      <c r="E63" s="217"/>
      <c r="F63" s="217"/>
      <c r="G63" s="217"/>
      <c r="H63" s="217"/>
      <c r="I63" s="217"/>
      <c r="J63" s="217"/>
    </row>
    <row r="64" spans="1:10" ht="24" customHeight="1" x14ac:dyDescent="0.25">
      <c r="A64" s="217"/>
      <c r="B64" s="217"/>
      <c r="C64" s="217"/>
      <c r="D64" s="217"/>
      <c r="E64" s="217"/>
      <c r="F64" s="217"/>
      <c r="G64" s="217"/>
      <c r="H64" s="217"/>
      <c r="I64" s="217"/>
      <c r="J64" s="217"/>
    </row>
    <row r="65" spans="1:10" ht="24" customHeight="1" x14ac:dyDescent="0.25">
      <c r="A65" s="217"/>
      <c r="B65" s="217"/>
      <c r="C65" s="217"/>
      <c r="D65" s="217"/>
      <c r="E65" s="217"/>
      <c r="F65" s="217"/>
      <c r="G65" s="217"/>
      <c r="H65" s="217"/>
      <c r="I65" s="217"/>
      <c r="J65" s="217"/>
    </row>
    <row r="66" spans="1:10" ht="40.5" customHeight="1" x14ac:dyDescent="0.25">
      <c r="A66" s="208" t="s">
        <v>222</v>
      </c>
      <c r="B66" s="209"/>
      <c r="C66" s="209"/>
      <c r="D66" s="209"/>
      <c r="E66" s="209"/>
      <c r="F66" s="209"/>
      <c r="G66" s="209"/>
      <c r="H66" s="209"/>
      <c r="I66" s="209"/>
      <c r="J66" s="209"/>
    </row>
    <row r="68" spans="1:10" x14ac:dyDescent="0.25">
      <c r="A68" s="210" t="s">
        <v>203</v>
      </c>
      <c r="B68" s="210"/>
      <c r="C68" s="321" t="str">
        <f>C3&amp;"/"&amp;F3</f>
        <v>/</v>
      </c>
      <c r="D68" s="321"/>
      <c r="E68" s="321"/>
      <c r="F68" s="321"/>
      <c r="G68" s="321"/>
    </row>
    <row r="69" spans="1:10" x14ac:dyDescent="0.25">
      <c r="A69" s="93"/>
      <c r="B69" s="93"/>
      <c r="C69" s="73"/>
    </row>
    <row r="70" spans="1:10" x14ac:dyDescent="0.25">
      <c r="A70" s="210" t="s">
        <v>204</v>
      </c>
      <c r="B70" s="210"/>
      <c r="C70" s="321">
        <f>C5</f>
        <v>0</v>
      </c>
      <c r="D70" s="321"/>
      <c r="E70" s="321"/>
      <c r="F70" s="321"/>
      <c r="G70" s="321"/>
    </row>
    <row r="72" spans="1:10" ht="49.5" customHeight="1" x14ac:dyDescent="0.25">
      <c r="A72" s="207" t="s">
        <v>223</v>
      </c>
      <c r="B72" s="207"/>
      <c r="C72" s="207"/>
      <c r="D72" s="207"/>
      <c r="E72" s="207"/>
      <c r="F72" s="207"/>
      <c r="G72" s="207"/>
      <c r="H72" s="207"/>
      <c r="I72" s="207"/>
      <c r="J72" s="207"/>
    </row>
    <row r="73" spans="1:10" ht="45.75" customHeight="1" x14ac:dyDescent="0.25">
      <c r="A73" s="325" t="s">
        <v>224</v>
      </c>
      <c r="B73" s="325"/>
      <c r="C73" s="325" t="s">
        <v>225</v>
      </c>
      <c r="D73" s="325"/>
      <c r="E73" s="325" t="s">
        <v>226</v>
      </c>
      <c r="F73" s="325"/>
      <c r="G73" s="325" t="s">
        <v>227</v>
      </c>
      <c r="H73" s="325"/>
      <c r="I73" s="325" t="s">
        <v>221</v>
      </c>
      <c r="J73" s="325"/>
    </row>
    <row r="74" spans="1:10" ht="115.5" customHeight="1" x14ac:dyDescent="0.25">
      <c r="A74" s="322" t="s">
        <v>228</v>
      </c>
      <c r="B74" s="322"/>
      <c r="C74" s="291" t="s">
        <v>232</v>
      </c>
      <c r="D74" s="291"/>
      <c r="E74" s="291" t="s">
        <v>236</v>
      </c>
      <c r="F74" s="291"/>
      <c r="G74" s="291" t="s">
        <v>237</v>
      </c>
      <c r="H74" s="291"/>
      <c r="I74" s="323"/>
      <c r="J74" s="323"/>
    </row>
    <row r="75" spans="1:10" ht="115.5" customHeight="1" x14ac:dyDescent="0.25">
      <c r="A75" s="322" t="s">
        <v>229</v>
      </c>
      <c r="B75" s="322"/>
      <c r="C75" s="291" t="s">
        <v>233</v>
      </c>
      <c r="D75" s="291"/>
      <c r="E75" s="291" t="s">
        <v>238</v>
      </c>
      <c r="F75" s="291"/>
      <c r="G75" s="291" t="s">
        <v>239</v>
      </c>
      <c r="H75" s="291"/>
      <c r="I75" s="323"/>
      <c r="J75" s="323"/>
    </row>
    <row r="76" spans="1:10" ht="115.5" customHeight="1" x14ac:dyDescent="0.25">
      <c r="A76" s="322" t="s">
        <v>230</v>
      </c>
      <c r="B76" s="322"/>
      <c r="C76" s="291" t="s">
        <v>234</v>
      </c>
      <c r="D76" s="291"/>
      <c r="E76" s="291" t="s">
        <v>240</v>
      </c>
      <c r="F76" s="291"/>
      <c r="G76" s="291" t="s">
        <v>241</v>
      </c>
      <c r="H76" s="291"/>
      <c r="I76" s="323"/>
      <c r="J76" s="323"/>
    </row>
    <row r="77" spans="1:10" ht="115.5" customHeight="1" x14ac:dyDescent="0.25">
      <c r="A77" s="322" t="s">
        <v>231</v>
      </c>
      <c r="B77" s="322"/>
      <c r="C77" s="324" t="s">
        <v>235</v>
      </c>
      <c r="D77" s="324"/>
      <c r="E77" s="291" t="s">
        <v>242</v>
      </c>
      <c r="F77" s="291"/>
      <c r="G77" s="291" t="s">
        <v>243</v>
      </c>
      <c r="H77" s="291"/>
      <c r="I77" s="323"/>
      <c r="J77" s="323"/>
    </row>
    <row r="79" spans="1:10" ht="44.25" customHeight="1" x14ac:dyDescent="0.25">
      <c r="A79" s="208" t="s">
        <v>244</v>
      </c>
      <c r="B79" s="209"/>
      <c r="C79" s="209"/>
      <c r="D79" s="209"/>
      <c r="E79" s="209"/>
      <c r="F79" s="209"/>
      <c r="G79" s="209"/>
      <c r="H79" s="209"/>
      <c r="I79" s="209"/>
      <c r="J79" s="209"/>
    </row>
    <row r="80" spans="1:10" ht="10.5" customHeight="1" x14ac:dyDescent="0.25"/>
    <row r="81" spans="1:10" x14ac:dyDescent="0.25">
      <c r="A81" s="210" t="s">
        <v>203</v>
      </c>
      <c r="B81" s="210"/>
      <c r="C81" s="321" t="str">
        <f>C3&amp;"/"&amp;F3</f>
        <v>/</v>
      </c>
      <c r="D81" s="321"/>
      <c r="E81" s="321"/>
      <c r="F81" s="321"/>
      <c r="G81" s="321"/>
    </row>
    <row r="82" spans="1:10" x14ac:dyDescent="0.25">
      <c r="A82" s="210" t="s">
        <v>204</v>
      </c>
      <c r="B82" s="210"/>
      <c r="C82" s="321">
        <f>C5</f>
        <v>0</v>
      </c>
      <c r="D82" s="321"/>
      <c r="E82" s="321"/>
      <c r="F82" s="321"/>
      <c r="G82" s="321"/>
    </row>
    <row r="83" spans="1:10" x14ac:dyDescent="0.25">
      <c r="A83" s="210" t="s">
        <v>205</v>
      </c>
      <c r="B83" s="210"/>
      <c r="C83" s="321">
        <f>C7</f>
        <v>0</v>
      </c>
      <c r="D83" s="321"/>
      <c r="E83" s="321"/>
      <c r="F83" s="321"/>
      <c r="G83" s="321"/>
    </row>
    <row r="84" spans="1:10" ht="10.5" customHeight="1" x14ac:dyDescent="0.25"/>
    <row r="85" spans="1:10" x14ac:dyDescent="0.25">
      <c r="A85" s="316" t="s">
        <v>245</v>
      </c>
      <c r="B85" s="316"/>
      <c r="C85" s="316" t="s">
        <v>246</v>
      </c>
      <c r="D85" s="316"/>
      <c r="E85" s="316"/>
      <c r="F85" s="316"/>
      <c r="G85" s="316"/>
      <c r="H85" s="316"/>
      <c r="I85" s="316"/>
      <c r="J85" s="316"/>
    </row>
    <row r="86" spans="1:10" x14ac:dyDescent="0.25">
      <c r="A86" s="317" t="s">
        <v>252</v>
      </c>
      <c r="B86" s="317"/>
      <c r="C86" s="101"/>
      <c r="D86" s="318" t="s">
        <v>247</v>
      </c>
      <c r="E86" s="318"/>
      <c r="F86" s="318"/>
      <c r="G86" s="318"/>
      <c r="H86" s="318"/>
      <c r="I86" s="318"/>
      <c r="J86" s="318"/>
    </row>
    <row r="87" spans="1:10" s="78" customFormat="1" ht="39.75" customHeight="1" x14ac:dyDescent="0.25">
      <c r="A87" s="317"/>
      <c r="B87" s="317"/>
      <c r="C87" s="101"/>
      <c r="D87" s="319" t="s">
        <v>248</v>
      </c>
      <c r="E87" s="319"/>
      <c r="F87" s="319"/>
      <c r="G87" s="319"/>
      <c r="H87" s="319"/>
      <c r="I87" s="319"/>
      <c r="J87" s="319"/>
    </row>
    <row r="88" spans="1:10" ht="32.25" customHeight="1" x14ac:dyDescent="0.25">
      <c r="A88" s="317"/>
      <c r="B88" s="317"/>
      <c r="C88" s="101"/>
      <c r="D88" s="319" t="s">
        <v>249</v>
      </c>
      <c r="E88" s="319"/>
      <c r="F88" s="319"/>
      <c r="G88" s="319"/>
      <c r="H88" s="319"/>
      <c r="I88" s="319"/>
      <c r="J88" s="319"/>
    </row>
    <row r="89" spans="1:10" x14ac:dyDescent="0.25">
      <c r="A89" s="317"/>
      <c r="B89" s="317"/>
      <c r="C89" s="101"/>
      <c r="D89" s="320" t="s">
        <v>250</v>
      </c>
      <c r="E89" s="320"/>
      <c r="F89" s="320"/>
      <c r="G89" s="320"/>
      <c r="H89" s="320"/>
      <c r="I89" s="320"/>
      <c r="J89" s="320"/>
    </row>
    <row r="90" spans="1:10" x14ac:dyDescent="0.25">
      <c r="A90" s="317"/>
      <c r="B90" s="317"/>
      <c r="C90" s="312" t="s">
        <v>251</v>
      </c>
      <c r="D90" s="312"/>
      <c r="E90" s="354"/>
      <c r="F90" s="354"/>
      <c r="G90" s="354"/>
      <c r="H90" s="354"/>
      <c r="I90" s="354"/>
      <c r="J90" s="354"/>
    </row>
    <row r="91" spans="1:10" ht="28.5" customHeight="1" x14ac:dyDescent="0.25">
      <c r="A91" s="317" t="s">
        <v>257</v>
      </c>
      <c r="B91" s="317"/>
      <c r="C91" s="101"/>
      <c r="D91" s="319" t="s">
        <v>253</v>
      </c>
      <c r="E91" s="319"/>
      <c r="F91" s="319"/>
      <c r="G91" s="319"/>
      <c r="H91" s="319"/>
      <c r="I91" s="319"/>
      <c r="J91" s="319"/>
    </row>
    <row r="92" spans="1:10" x14ac:dyDescent="0.25">
      <c r="A92" s="317"/>
      <c r="B92" s="317"/>
      <c r="C92" s="101"/>
      <c r="D92" s="319" t="s">
        <v>254</v>
      </c>
      <c r="E92" s="319"/>
      <c r="F92" s="319"/>
      <c r="G92" s="319"/>
      <c r="H92" s="319"/>
      <c r="I92" s="319"/>
      <c r="J92" s="319"/>
    </row>
    <row r="93" spans="1:10" ht="27.75" customHeight="1" x14ac:dyDescent="0.25">
      <c r="A93" s="317"/>
      <c r="B93" s="317"/>
      <c r="C93" s="101"/>
      <c r="D93" s="319" t="s">
        <v>255</v>
      </c>
      <c r="E93" s="319"/>
      <c r="F93" s="319"/>
      <c r="G93" s="319"/>
      <c r="H93" s="319"/>
      <c r="I93" s="319"/>
      <c r="J93" s="319"/>
    </row>
    <row r="94" spans="1:10" ht="28.5" customHeight="1" x14ac:dyDescent="0.25">
      <c r="A94" s="317"/>
      <c r="B94" s="317"/>
      <c r="C94" s="101"/>
      <c r="D94" s="319" t="s">
        <v>256</v>
      </c>
      <c r="E94" s="319"/>
      <c r="F94" s="319"/>
      <c r="G94" s="319"/>
      <c r="H94" s="319"/>
      <c r="I94" s="319"/>
      <c r="J94" s="319"/>
    </row>
    <row r="95" spans="1:10" x14ac:dyDescent="0.25">
      <c r="A95" s="317"/>
      <c r="B95" s="317"/>
      <c r="C95" s="312" t="s">
        <v>251</v>
      </c>
      <c r="D95" s="312"/>
      <c r="E95" s="354"/>
      <c r="F95" s="354"/>
      <c r="G95" s="354"/>
      <c r="H95" s="354"/>
      <c r="I95" s="354"/>
      <c r="J95" s="354"/>
    </row>
    <row r="96" spans="1:10" x14ac:dyDescent="0.25">
      <c r="A96" s="317" t="s">
        <v>258</v>
      </c>
      <c r="B96" s="317"/>
      <c r="C96" s="101"/>
      <c r="D96" s="318" t="s">
        <v>259</v>
      </c>
      <c r="E96" s="318"/>
      <c r="F96" s="318"/>
      <c r="G96" s="318"/>
      <c r="H96" s="318"/>
      <c r="I96" s="318"/>
      <c r="J96" s="318"/>
    </row>
    <row r="97" spans="1:10" ht="27.75" customHeight="1" x14ac:dyDescent="0.25">
      <c r="A97" s="317"/>
      <c r="B97" s="317"/>
      <c r="C97" s="101"/>
      <c r="D97" s="319" t="s">
        <v>260</v>
      </c>
      <c r="E97" s="319"/>
      <c r="F97" s="319"/>
      <c r="G97" s="319"/>
      <c r="H97" s="319"/>
      <c r="I97" s="319"/>
      <c r="J97" s="319"/>
    </row>
    <row r="98" spans="1:10" ht="15.75" customHeight="1" x14ac:dyDescent="0.25">
      <c r="A98" s="317"/>
      <c r="B98" s="317"/>
      <c r="C98" s="101"/>
      <c r="D98" s="319" t="s">
        <v>261</v>
      </c>
      <c r="E98" s="319"/>
      <c r="F98" s="319"/>
      <c r="G98" s="319"/>
      <c r="H98" s="319"/>
      <c r="I98" s="319"/>
      <c r="J98" s="319"/>
    </row>
    <row r="99" spans="1:10" ht="24" customHeight="1" x14ac:dyDescent="0.25">
      <c r="A99" s="317"/>
      <c r="B99" s="317"/>
      <c r="C99" s="101"/>
      <c r="D99" s="319" t="s">
        <v>262</v>
      </c>
      <c r="E99" s="319"/>
      <c r="F99" s="319"/>
      <c r="G99" s="319"/>
      <c r="H99" s="319"/>
      <c r="I99" s="319"/>
      <c r="J99" s="319"/>
    </row>
    <row r="100" spans="1:10" ht="35.25" customHeight="1" x14ac:dyDescent="0.25">
      <c r="A100" s="317"/>
      <c r="B100" s="317"/>
      <c r="C100" s="101"/>
      <c r="D100" s="319" t="s">
        <v>263</v>
      </c>
      <c r="E100" s="319"/>
      <c r="F100" s="319"/>
      <c r="G100" s="319"/>
      <c r="H100" s="319"/>
      <c r="I100" s="319"/>
      <c r="J100" s="319"/>
    </row>
    <row r="101" spans="1:10" x14ac:dyDescent="0.25">
      <c r="A101" s="317"/>
      <c r="B101" s="317"/>
      <c r="C101" s="312" t="s">
        <v>251</v>
      </c>
      <c r="D101" s="312"/>
      <c r="E101" s="354"/>
      <c r="F101" s="354"/>
      <c r="G101" s="354"/>
      <c r="H101" s="354"/>
      <c r="I101" s="354"/>
      <c r="J101" s="354"/>
    </row>
    <row r="104" spans="1:10" x14ac:dyDescent="0.25">
      <c r="A104" s="96"/>
      <c r="B104" s="310" t="s">
        <v>264</v>
      </c>
      <c r="C104" s="310"/>
      <c r="D104" s="310"/>
      <c r="E104" s="310"/>
      <c r="F104" s="310"/>
      <c r="G104" s="310"/>
      <c r="H104" s="310"/>
      <c r="I104" s="310"/>
      <c r="J104" s="310"/>
    </row>
    <row r="105" spans="1:10" x14ac:dyDescent="0.25">
      <c r="B105" s="94"/>
      <c r="C105" s="94"/>
      <c r="D105" s="94"/>
      <c r="E105" s="94"/>
      <c r="F105" s="94"/>
      <c r="G105" s="94"/>
      <c r="H105" s="94"/>
      <c r="I105" s="94"/>
      <c r="J105" s="94"/>
    </row>
    <row r="106" spans="1:10" x14ac:dyDescent="0.25">
      <c r="A106" s="96"/>
      <c r="B106" s="311" t="s">
        <v>265</v>
      </c>
      <c r="C106" s="310"/>
      <c r="D106" s="310"/>
      <c r="E106" s="310"/>
      <c r="F106" s="310"/>
      <c r="G106" s="310"/>
      <c r="H106" s="310"/>
      <c r="I106" s="310"/>
      <c r="J106" s="310"/>
    </row>
    <row r="108" spans="1:10" x14ac:dyDescent="0.25">
      <c r="A108" s="187" t="s">
        <v>266</v>
      </c>
      <c r="B108" s="187"/>
      <c r="C108" s="187"/>
      <c r="D108" s="268"/>
      <c r="E108" s="268"/>
      <c r="F108" s="268"/>
      <c r="H108" t="s">
        <v>267</v>
      </c>
      <c r="I108" s="269"/>
      <c r="J108" s="269"/>
    </row>
    <row r="110" spans="1:10" x14ac:dyDescent="0.25">
      <c r="A110" s="187" t="s">
        <v>268</v>
      </c>
      <c r="B110" s="187"/>
      <c r="C110" s="187"/>
      <c r="D110" s="268"/>
      <c r="E110" s="268"/>
      <c r="F110" s="268"/>
      <c r="H110" t="s">
        <v>267</v>
      </c>
      <c r="I110" s="269"/>
      <c r="J110" s="269"/>
    </row>
    <row r="115" spans="1:10" ht="40.5" customHeight="1" x14ac:dyDescent="0.25">
      <c r="A115" s="208" t="s">
        <v>293</v>
      </c>
      <c r="B115" s="209"/>
      <c r="C115" s="209"/>
      <c r="D115" s="209"/>
      <c r="E115" s="209"/>
      <c r="F115" s="209"/>
      <c r="G115" s="209"/>
      <c r="H115" s="209"/>
      <c r="I115" s="209"/>
      <c r="J115" s="209"/>
    </row>
    <row r="117" spans="1:10" x14ac:dyDescent="0.25">
      <c r="A117" s="293" t="s">
        <v>269</v>
      </c>
      <c r="B117" s="293"/>
      <c r="C117" s="293"/>
      <c r="D117" s="293"/>
      <c r="E117" s="81"/>
      <c r="F117" s="285">
        <f>C5</f>
        <v>0</v>
      </c>
      <c r="G117" s="285"/>
      <c r="H117" s="285"/>
      <c r="I117" s="285"/>
      <c r="J117" s="286"/>
    </row>
    <row r="118" spans="1:10" x14ac:dyDescent="0.25">
      <c r="A118" s="293" t="s">
        <v>270</v>
      </c>
      <c r="B118" s="293"/>
      <c r="C118" s="293"/>
      <c r="D118" s="293"/>
      <c r="E118" s="81"/>
      <c r="F118" s="285">
        <f>C3</f>
        <v>0</v>
      </c>
      <c r="G118" s="285"/>
      <c r="H118" s="285"/>
      <c r="I118" s="285"/>
      <c r="J118" s="286"/>
    </row>
    <row r="119" spans="1:10" x14ac:dyDescent="0.25">
      <c r="A119" s="293" t="s">
        <v>271</v>
      </c>
      <c r="B119" s="293"/>
      <c r="C119" s="293"/>
      <c r="D119" s="293"/>
      <c r="E119" s="81"/>
      <c r="F119" s="285">
        <f>F3</f>
        <v>0</v>
      </c>
      <c r="G119" s="285"/>
      <c r="H119" s="285"/>
      <c r="I119" s="285"/>
      <c r="J119" s="286"/>
    </row>
    <row r="120" spans="1:10" ht="48" customHeight="1" x14ac:dyDescent="0.25">
      <c r="A120" s="291" t="s">
        <v>272</v>
      </c>
      <c r="B120" s="291"/>
      <c r="C120" s="291"/>
      <c r="D120" s="291"/>
      <c r="E120" s="81"/>
      <c r="F120" s="352"/>
      <c r="G120" s="352"/>
      <c r="H120" s="82" t="s">
        <v>278</v>
      </c>
      <c r="I120" s="352"/>
      <c r="J120" s="353"/>
    </row>
    <row r="121" spans="1:10" ht="31.5" customHeight="1" x14ac:dyDescent="0.25">
      <c r="A121" s="291" t="s">
        <v>273</v>
      </c>
      <c r="B121" s="291"/>
      <c r="C121" s="291"/>
      <c r="D121" s="291"/>
      <c r="E121" s="81"/>
      <c r="F121" s="287"/>
      <c r="G121" s="287"/>
      <c r="H121" s="287"/>
      <c r="I121" s="287"/>
      <c r="J121" s="288"/>
    </row>
    <row r="122" spans="1:10" x14ac:dyDescent="0.25">
      <c r="A122" s="296" t="s">
        <v>274</v>
      </c>
      <c r="B122" s="297"/>
      <c r="C122" s="297"/>
      <c r="D122" s="298"/>
      <c r="E122" s="302" t="s">
        <v>279</v>
      </c>
      <c r="F122" s="303"/>
      <c r="G122" s="303"/>
      <c r="H122" s="303"/>
      <c r="I122" s="303"/>
      <c r="J122" s="304"/>
    </row>
    <row r="123" spans="1:10" x14ac:dyDescent="0.25">
      <c r="A123" s="299"/>
      <c r="B123" s="300"/>
      <c r="C123" s="300"/>
      <c r="D123" s="301"/>
      <c r="E123" s="101"/>
      <c r="F123" s="302" t="s">
        <v>280</v>
      </c>
      <c r="G123" s="303"/>
      <c r="H123" s="303"/>
      <c r="I123" s="303"/>
      <c r="J123" s="304"/>
    </row>
    <row r="124" spans="1:10" x14ac:dyDescent="0.25">
      <c r="A124" s="299"/>
      <c r="B124" s="300"/>
      <c r="C124" s="300"/>
      <c r="D124" s="301"/>
      <c r="E124" s="101"/>
      <c r="F124" s="302" t="s">
        <v>281</v>
      </c>
      <c r="G124" s="303"/>
      <c r="H124" s="303"/>
      <c r="I124" s="303"/>
      <c r="J124" s="304"/>
    </row>
    <row r="125" spans="1:10" x14ac:dyDescent="0.25">
      <c r="A125" s="299"/>
      <c r="B125" s="300"/>
      <c r="C125" s="300"/>
      <c r="D125" s="301"/>
      <c r="E125" s="101"/>
      <c r="F125" s="302" t="s">
        <v>282</v>
      </c>
      <c r="G125" s="303"/>
      <c r="H125" s="303"/>
      <c r="I125" s="303"/>
      <c r="J125" s="304"/>
    </row>
    <row r="126" spans="1:10" ht="45.75" customHeight="1" x14ac:dyDescent="0.25">
      <c r="A126" s="299"/>
      <c r="B126" s="300"/>
      <c r="C126" s="300"/>
      <c r="D126" s="301"/>
      <c r="E126" s="133" t="s">
        <v>283</v>
      </c>
      <c r="F126" s="347"/>
      <c r="G126" s="348"/>
      <c r="H126" s="348"/>
      <c r="I126" s="348"/>
      <c r="J126" s="349"/>
    </row>
    <row r="127" spans="1:10" x14ac:dyDescent="0.25">
      <c r="A127" s="296" t="s">
        <v>275</v>
      </c>
      <c r="B127" s="297"/>
      <c r="C127" s="297"/>
      <c r="D127" s="298"/>
      <c r="E127" s="101"/>
      <c r="F127" s="350" t="s">
        <v>285</v>
      </c>
      <c r="G127" s="350"/>
      <c r="H127" s="350"/>
      <c r="I127" s="350"/>
      <c r="J127" s="350"/>
    </row>
    <row r="128" spans="1:10" ht="48" customHeight="1" x14ac:dyDescent="0.25">
      <c r="A128" s="299"/>
      <c r="B128" s="300"/>
      <c r="C128" s="300"/>
      <c r="D128" s="301"/>
      <c r="E128" s="101"/>
      <c r="F128" s="351" t="s">
        <v>286</v>
      </c>
      <c r="G128" s="351"/>
      <c r="H128" s="351"/>
      <c r="I128" s="351"/>
      <c r="J128" s="351"/>
    </row>
    <row r="129" spans="1:10" ht="45.75" customHeight="1" x14ac:dyDescent="0.25">
      <c r="A129" s="305"/>
      <c r="B129" s="306"/>
      <c r="C129" s="306"/>
      <c r="D129" s="307"/>
      <c r="E129" s="133" t="s">
        <v>283</v>
      </c>
      <c r="F129" s="274"/>
      <c r="G129" s="274"/>
      <c r="H129" s="274"/>
      <c r="I129" s="274"/>
      <c r="J129" s="274"/>
    </row>
    <row r="130" spans="1:10" ht="47.25" customHeight="1" x14ac:dyDescent="0.25">
      <c r="A130" s="275" t="s">
        <v>276</v>
      </c>
      <c r="B130" s="276"/>
      <c r="C130" s="276"/>
      <c r="D130" s="277"/>
      <c r="E130" s="89"/>
      <c r="F130" s="274"/>
      <c r="G130" s="274"/>
      <c r="H130" s="274"/>
      <c r="I130" s="274"/>
      <c r="J130" s="274"/>
    </row>
    <row r="131" spans="1:10" ht="25.5" customHeight="1" x14ac:dyDescent="0.25">
      <c r="A131" s="296" t="s">
        <v>284</v>
      </c>
      <c r="B131" s="297"/>
      <c r="C131" s="297"/>
      <c r="D131" s="298"/>
      <c r="E131" s="280" t="s">
        <v>287</v>
      </c>
      <c r="F131" s="281"/>
      <c r="G131" s="281"/>
      <c r="H131" s="281"/>
      <c r="I131" s="281"/>
      <c r="J131" s="282"/>
    </row>
    <row r="132" spans="1:10" x14ac:dyDescent="0.25">
      <c r="A132" s="299"/>
      <c r="B132" s="300"/>
      <c r="C132" s="300"/>
      <c r="D132" s="301"/>
      <c r="E132" s="101"/>
      <c r="F132" s="278" t="s">
        <v>288</v>
      </c>
      <c r="G132" s="278"/>
      <c r="H132" s="278"/>
      <c r="I132" s="278"/>
      <c r="J132" s="279"/>
    </row>
    <row r="133" spans="1:10" x14ac:dyDescent="0.25">
      <c r="A133" s="299"/>
      <c r="B133" s="300"/>
      <c r="C133" s="300"/>
      <c r="D133" s="301"/>
      <c r="E133" s="101"/>
      <c r="F133" s="278" t="s">
        <v>289</v>
      </c>
      <c r="G133" s="278"/>
      <c r="H133" s="278"/>
      <c r="I133" s="278"/>
      <c r="J133" s="279"/>
    </row>
    <row r="134" spans="1:10" x14ac:dyDescent="0.25">
      <c r="A134" s="299"/>
      <c r="B134" s="300"/>
      <c r="C134" s="300"/>
      <c r="D134" s="301"/>
      <c r="E134" s="101"/>
      <c r="F134" s="278" t="s">
        <v>290</v>
      </c>
      <c r="G134" s="278"/>
      <c r="H134" s="278"/>
      <c r="I134" s="278"/>
      <c r="J134" s="279"/>
    </row>
    <row r="135" spans="1:10" x14ac:dyDescent="0.25">
      <c r="A135" s="299"/>
      <c r="B135" s="300"/>
      <c r="C135" s="300"/>
      <c r="D135" s="301"/>
      <c r="E135" s="101"/>
      <c r="F135" s="278" t="s">
        <v>291</v>
      </c>
      <c r="G135" s="278"/>
      <c r="H135" s="278"/>
      <c r="I135" s="278"/>
      <c r="J135" s="279"/>
    </row>
    <row r="136" spans="1:10" ht="45.75" customHeight="1" x14ac:dyDescent="0.25">
      <c r="A136" s="305"/>
      <c r="B136" s="306"/>
      <c r="C136" s="306"/>
      <c r="D136" s="307"/>
      <c r="E136" s="133" t="s">
        <v>283</v>
      </c>
      <c r="F136" s="347"/>
      <c r="G136" s="348"/>
      <c r="H136" s="348"/>
      <c r="I136" s="348"/>
      <c r="J136" s="349"/>
    </row>
    <row r="137" spans="1:10" ht="45.75" customHeight="1" x14ac:dyDescent="0.25">
      <c r="A137" s="291" t="s">
        <v>277</v>
      </c>
      <c r="B137" s="291"/>
      <c r="C137" s="291"/>
      <c r="D137" s="291"/>
      <c r="E137" s="89"/>
      <c r="F137" s="292" t="s">
        <v>292</v>
      </c>
      <c r="G137" s="292"/>
      <c r="H137" s="292"/>
      <c r="I137" s="292"/>
      <c r="J137" s="292"/>
    </row>
    <row r="143" spans="1:10" ht="42" customHeight="1" x14ac:dyDescent="0.25">
      <c r="A143" s="208" t="s">
        <v>294</v>
      </c>
      <c r="B143" s="209"/>
      <c r="C143" s="209"/>
      <c r="D143" s="209"/>
      <c r="E143" s="209"/>
      <c r="F143" s="209"/>
      <c r="G143" s="209"/>
      <c r="H143" s="209"/>
      <c r="I143" s="209"/>
      <c r="J143" s="209"/>
    </row>
    <row r="145" spans="1:10" x14ac:dyDescent="0.25">
      <c r="A145" s="210" t="s">
        <v>203</v>
      </c>
      <c r="B145" s="210"/>
      <c r="C145" s="321" t="str">
        <f>C3&amp;"/"&amp;F3</f>
        <v>/</v>
      </c>
      <c r="D145" s="321"/>
      <c r="E145" s="321"/>
      <c r="F145" s="321"/>
      <c r="G145" s="212" t="s">
        <v>295</v>
      </c>
      <c r="H145" s="212"/>
      <c r="I145" s="212"/>
      <c r="J145" s="102">
        <f>'SGO #1(Tiered or Simple)'!D20</f>
        <v>0</v>
      </c>
    </row>
    <row r="146" spans="1:10" x14ac:dyDescent="0.25">
      <c r="A146" s="210" t="s">
        <v>204</v>
      </c>
      <c r="B146" s="210"/>
      <c r="C146" s="284">
        <f>C5</f>
        <v>0</v>
      </c>
      <c r="D146" s="284"/>
      <c r="E146" s="284"/>
      <c r="F146" s="284"/>
      <c r="G146" s="84"/>
      <c r="H146" s="77"/>
      <c r="I146" s="77"/>
    </row>
    <row r="147" spans="1:10" x14ac:dyDescent="0.25">
      <c r="A147" s="210" t="s">
        <v>205</v>
      </c>
      <c r="B147" s="210"/>
      <c r="C147" s="284">
        <f>C7</f>
        <v>0</v>
      </c>
      <c r="D147" s="284"/>
      <c r="E147" s="284"/>
      <c r="F147" s="284"/>
      <c r="G147" s="84"/>
      <c r="H147" s="77"/>
      <c r="I147" s="77"/>
    </row>
    <row r="148" spans="1:10" x14ac:dyDescent="0.25">
      <c r="G148" s="77"/>
      <c r="H148" s="77"/>
      <c r="I148" s="77"/>
    </row>
    <row r="149" spans="1:10" ht="27.75" customHeight="1" x14ac:dyDescent="0.25">
      <c r="A149" s="283" t="s">
        <v>296</v>
      </c>
      <c r="B149" s="283"/>
      <c r="C149" s="283"/>
      <c r="D149" s="283" t="s">
        <v>297</v>
      </c>
      <c r="E149" s="283"/>
      <c r="F149" s="283"/>
      <c r="G149" s="283" t="s">
        <v>298</v>
      </c>
      <c r="H149" s="283"/>
      <c r="I149" s="283"/>
      <c r="J149" s="283"/>
    </row>
    <row r="150" spans="1:10" ht="80.25" customHeight="1" x14ac:dyDescent="0.25">
      <c r="A150" s="270" t="s">
        <v>299</v>
      </c>
      <c r="B150" s="271"/>
      <c r="C150" s="271"/>
      <c r="D150" s="272" t="str">
        <f>IF('SGO #1(Tiered or Simple)'!D17=0,"",'SGO #1(Tiered or Simple)'!E17)</f>
        <v/>
      </c>
      <c r="E150" s="273"/>
      <c r="F150" s="273"/>
      <c r="G150" s="274"/>
      <c r="H150" s="274"/>
      <c r="I150" s="274"/>
      <c r="J150" s="274"/>
    </row>
    <row r="151" spans="1:10" ht="80.25" customHeight="1" x14ac:dyDescent="0.25">
      <c r="A151" s="270" t="s">
        <v>300</v>
      </c>
      <c r="B151" s="271"/>
      <c r="C151" s="271"/>
      <c r="D151" s="272" t="str">
        <f>IF('SGO #1(Tiered or Simple)'!D14=0,"",'SGO #1(Tiered or Simple)'!E14)</f>
        <v/>
      </c>
      <c r="E151" s="273"/>
      <c r="F151" s="273"/>
      <c r="G151" s="274"/>
      <c r="H151" s="274"/>
      <c r="I151" s="274"/>
      <c r="J151" s="274"/>
    </row>
    <row r="152" spans="1:10" ht="80.25" customHeight="1" x14ac:dyDescent="0.25">
      <c r="A152" s="270" t="s">
        <v>343</v>
      </c>
      <c r="B152" s="271"/>
      <c r="C152" s="271"/>
      <c r="D152" s="272" t="str">
        <f>IF('SGO #1(Tiered or Simple)'!D11=0,"",'SGO #1(Tiered or Simple)'!E11)</f>
        <v/>
      </c>
      <c r="E152" s="273"/>
      <c r="F152" s="273"/>
      <c r="G152" s="274"/>
      <c r="H152" s="274"/>
      <c r="I152" s="274"/>
      <c r="J152" s="274"/>
    </row>
    <row r="154" spans="1:10" x14ac:dyDescent="0.25">
      <c r="A154" s="210" t="s">
        <v>301</v>
      </c>
      <c r="B154" s="210"/>
      <c r="C154" s="210"/>
      <c r="D154" s="210"/>
      <c r="E154" s="210"/>
      <c r="F154" s="210"/>
      <c r="G154" s="210"/>
      <c r="H154" s="210"/>
      <c r="I154" s="210"/>
      <c r="J154" s="210"/>
    </row>
    <row r="155" spans="1:10" x14ac:dyDescent="0.25">
      <c r="A155" s="210" t="s">
        <v>302</v>
      </c>
      <c r="B155" s="210"/>
      <c r="C155" s="210"/>
      <c r="D155" s="210"/>
      <c r="E155" s="210"/>
      <c r="F155" s="210"/>
      <c r="G155" s="210"/>
      <c r="H155" s="210"/>
      <c r="I155" s="210"/>
      <c r="J155" s="210"/>
    </row>
    <row r="156" spans="1:10" ht="48.75" customHeight="1" x14ac:dyDescent="0.25">
      <c r="A156" s="265" t="s">
        <v>303</v>
      </c>
      <c r="B156" s="266"/>
      <c r="C156" s="266"/>
      <c r="D156" s="266"/>
      <c r="E156" s="266"/>
      <c r="F156" s="266"/>
      <c r="G156" s="266"/>
      <c r="H156" s="266"/>
      <c r="I156" s="266"/>
      <c r="J156" s="266"/>
    </row>
    <row r="158" spans="1:10" x14ac:dyDescent="0.25">
      <c r="A158" s="264" t="s">
        <v>304</v>
      </c>
      <c r="B158" s="264"/>
      <c r="C158" s="264"/>
      <c r="D158" s="264"/>
      <c r="E158" s="264"/>
      <c r="F158" s="264"/>
      <c r="G158" s="264"/>
      <c r="H158" s="264"/>
      <c r="I158" s="264"/>
      <c r="J158" s="264"/>
    </row>
    <row r="159" spans="1:10" ht="53.25" customHeight="1" x14ac:dyDescent="0.25">
      <c r="A159" s="265" t="s">
        <v>305</v>
      </c>
      <c r="B159" s="266"/>
      <c r="C159" s="266"/>
      <c r="D159" s="266"/>
      <c r="E159" s="266"/>
      <c r="F159" s="266"/>
      <c r="G159" s="266"/>
      <c r="H159" s="266"/>
      <c r="I159" s="266"/>
      <c r="J159" s="266"/>
    </row>
    <row r="161" spans="1:10" x14ac:dyDescent="0.25">
      <c r="A161" s="101"/>
      <c r="B161" s="267" t="s">
        <v>306</v>
      </c>
      <c r="C161" s="266"/>
      <c r="D161" s="266"/>
      <c r="E161" s="266"/>
      <c r="F161" s="266"/>
      <c r="G161" s="266"/>
      <c r="H161" s="266"/>
      <c r="I161" s="266"/>
      <c r="J161" s="266"/>
    </row>
    <row r="163" spans="1:10" x14ac:dyDescent="0.25">
      <c r="A163" s="187" t="s">
        <v>266</v>
      </c>
      <c r="B163" s="187"/>
      <c r="C163" s="187"/>
      <c r="D163" s="268"/>
      <c r="E163" s="268"/>
      <c r="F163" s="268"/>
      <c r="H163" t="s">
        <v>267</v>
      </c>
      <c r="I163" s="269"/>
      <c r="J163" s="269"/>
    </row>
    <row r="165" spans="1:10" x14ac:dyDescent="0.25">
      <c r="A165" s="187" t="s">
        <v>268</v>
      </c>
      <c r="B165" s="187"/>
      <c r="C165" s="187"/>
      <c r="D165" s="268"/>
      <c r="E165" s="268"/>
      <c r="F165" s="268"/>
      <c r="H165" t="s">
        <v>267</v>
      </c>
      <c r="I165" s="269"/>
      <c r="J165" s="269"/>
    </row>
    <row r="169" spans="1:10" ht="42" customHeight="1" x14ac:dyDescent="0.25">
      <c r="A169" s="208" t="s">
        <v>346</v>
      </c>
      <c r="B169" s="209"/>
      <c r="C169" s="209"/>
      <c r="D169" s="209"/>
      <c r="E169" s="209"/>
      <c r="F169" s="209"/>
      <c r="G169" s="209"/>
      <c r="H169" s="209"/>
      <c r="I169" s="209"/>
      <c r="J169" s="209"/>
    </row>
    <row r="170" spans="1:10" ht="8.25" customHeight="1" x14ac:dyDescent="0.25"/>
    <row r="171" spans="1:10" x14ac:dyDescent="0.25">
      <c r="A171" s="233" t="s">
        <v>308</v>
      </c>
      <c r="B171" s="233"/>
      <c r="C171" s="233" t="s">
        <v>270</v>
      </c>
      <c r="D171" s="233"/>
      <c r="E171" s="233" t="s">
        <v>309</v>
      </c>
      <c r="F171" s="233"/>
      <c r="G171" s="233"/>
      <c r="H171" s="233" t="s">
        <v>310</v>
      </c>
      <c r="I171" s="233"/>
      <c r="J171" s="233"/>
    </row>
    <row r="172" spans="1:10" x14ac:dyDescent="0.25">
      <c r="A172" s="344">
        <f>C3</f>
        <v>0</v>
      </c>
      <c r="B172" s="344"/>
      <c r="C172" s="344">
        <f>F3</f>
        <v>0</v>
      </c>
      <c r="D172" s="344"/>
      <c r="E172" s="220">
        <f>J145</f>
        <v>0</v>
      </c>
      <c r="F172" s="220"/>
      <c r="G172" s="220"/>
      <c r="H172" s="88" t="s">
        <v>311</v>
      </c>
      <c r="I172" s="101"/>
      <c r="J172" s="88"/>
    </row>
    <row r="173" spans="1:10" x14ac:dyDescent="0.25">
      <c r="A173" s="344"/>
      <c r="B173" s="344"/>
      <c r="C173" s="344"/>
      <c r="D173" s="344"/>
      <c r="E173" s="220"/>
      <c r="F173" s="220"/>
      <c r="G173" s="220"/>
      <c r="H173" s="88" t="s">
        <v>312</v>
      </c>
      <c r="I173" s="101"/>
      <c r="J173" s="88"/>
    </row>
    <row r="174" spans="1:10" x14ac:dyDescent="0.25">
      <c r="A174" s="344"/>
      <c r="B174" s="344"/>
      <c r="C174" s="344"/>
      <c r="D174" s="344"/>
      <c r="E174" s="220"/>
      <c r="F174" s="220"/>
      <c r="G174" s="220"/>
      <c r="H174" s="88" t="s">
        <v>283</v>
      </c>
      <c r="I174" s="330"/>
      <c r="J174" s="330"/>
    </row>
    <row r="175" spans="1:10" x14ac:dyDescent="0.25">
      <c r="A175" s="234" t="s">
        <v>313</v>
      </c>
      <c r="B175" s="234"/>
      <c r="C175" s="345"/>
      <c r="D175" s="242"/>
      <c r="E175" s="242"/>
      <c r="F175" s="242"/>
      <c r="G175" s="243"/>
      <c r="H175" s="234" t="s">
        <v>315</v>
      </c>
      <c r="I175" s="79" t="s">
        <v>316</v>
      </c>
      <c r="J175" s="101"/>
    </row>
    <row r="176" spans="1:10" x14ac:dyDescent="0.25">
      <c r="A176" s="234"/>
      <c r="B176" s="234"/>
      <c r="C176" s="346"/>
      <c r="D176" s="244"/>
      <c r="E176" s="244"/>
      <c r="F176" s="244"/>
      <c r="G176" s="245"/>
      <c r="H176" s="234"/>
      <c r="I176" s="79" t="s">
        <v>317</v>
      </c>
      <c r="J176" s="101"/>
    </row>
    <row r="177" spans="1:10" ht="29.25" customHeight="1" x14ac:dyDescent="0.25">
      <c r="A177" s="225" t="s">
        <v>314</v>
      </c>
      <c r="B177" s="226"/>
      <c r="C177" s="226"/>
      <c r="D177" s="226"/>
      <c r="E177" s="226"/>
      <c r="F177" s="226"/>
      <c r="G177" s="226"/>
      <c r="H177" s="226"/>
      <c r="I177" s="226"/>
      <c r="J177" s="226"/>
    </row>
    <row r="178" spans="1:10" ht="106.5" customHeight="1" x14ac:dyDescent="0.25">
      <c r="A178" s="230"/>
      <c r="B178" s="231"/>
      <c r="C178" s="231"/>
      <c r="D178" s="231"/>
      <c r="E178" s="231"/>
      <c r="F178" s="231"/>
      <c r="G178" s="231"/>
      <c r="H178" s="231"/>
      <c r="I178" s="231"/>
      <c r="J178" s="232"/>
    </row>
    <row r="179" spans="1:10" x14ac:dyDescent="0.25">
      <c r="A179" s="335" t="s">
        <v>200</v>
      </c>
      <c r="B179" s="336"/>
      <c r="C179" s="336"/>
      <c r="D179" s="336"/>
      <c r="E179" s="336"/>
      <c r="F179" s="336"/>
      <c r="G179" s="336"/>
      <c r="H179" s="336"/>
      <c r="I179" s="336"/>
      <c r="J179" s="336"/>
    </row>
    <row r="180" spans="1:10" ht="39" customHeight="1" x14ac:dyDescent="0.25">
      <c r="A180" s="339" t="s">
        <v>347</v>
      </c>
      <c r="B180" s="340"/>
      <c r="C180" s="339" t="s">
        <v>348</v>
      </c>
      <c r="D180" s="339"/>
      <c r="E180" s="339" t="s">
        <v>350</v>
      </c>
      <c r="F180" s="339"/>
      <c r="G180" s="339"/>
      <c r="H180" s="339" t="s">
        <v>349</v>
      </c>
      <c r="I180" s="339"/>
      <c r="J180" s="339"/>
    </row>
    <row r="181" spans="1:10" x14ac:dyDescent="0.25">
      <c r="A181" s="341" t="s">
        <v>30</v>
      </c>
      <c r="B181" s="342"/>
      <c r="C181" s="341">
        <f>'SGO #1(Tiered or Simple)'!D11</f>
        <v>0</v>
      </c>
      <c r="D181" s="341"/>
      <c r="E181" s="341" t="str">
        <f>IF('SGO #1(Tiered or Simple)'!D11=0,"",IF('SGO #1(Tiered or Simple)'!T37=0,'SGO #1(Tiered or Simple)'!S37,'SGO #1(Tiered or Simple)'!U37))</f>
        <v/>
      </c>
      <c r="F181" s="341"/>
      <c r="G181" s="341"/>
      <c r="H181" s="342" t="str">
        <f>IF('SGO #1(Tiered or Simple)'!D11=0,"",'SGO #1(Tiered or Simple)'!I12)</f>
        <v/>
      </c>
      <c r="I181" s="342"/>
      <c r="J181" s="342"/>
    </row>
    <row r="182" spans="1:10" x14ac:dyDescent="0.25">
      <c r="A182" s="341" t="s">
        <v>192</v>
      </c>
      <c r="B182" s="342"/>
      <c r="C182" s="341">
        <f>'SGO #1(Tiered or Simple)'!D14</f>
        <v>0</v>
      </c>
      <c r="D182" s="341"/>
      <c r="E182" s="341" t="str">
        <f>IF('SGO #1(Tiered or Simple)'!D14=0,"",IF('SGO #1(Tiered or Simple)'!T38=0,'SGO #1(Tiered or Simple)'!S38,'SGO #1(Tiered or Simple)'!U38))</f>
        <v/>
      </c>
      <c r="F182" s="341"/>
      <c r="G182" s="341"/>
      <c r="H182" s="342" t="str">
        <f>IF('SGO #1(Tiered or Simple)'!D14=0,"",'SGO #1(Tiered or Simple)'!I15)</f>
        <v/>
      </c>
      <c r="I182" s="342"/>
      <c r="J182" s="342"/>
    </row>
    <row r="183" spans="1:10" x14ac:dyDescent="0.25">
      <c r="A183" s="341" t="s">
        <v>28</v>
      </c>
      <c r="B183" s="342"/>
      <c r="C183" s="341">
        <f>'SGO #1(Tiered or Simple)'!D17</f>
        <v>0</v>
      </c>
      <c r="D183" s="341"/>
      <c r="E183" s="341" t="str">
        <f>IF('SGO #1(Tiered or Simple)'!D17=0,"",IF('SGO #1(Tiered or Simple)'!T39=0,'SGO #1(Tiered or Simple)'!S39,'SGO #1(Tiered or Simple)'!U39))</f>
        <v/>
      </c>
      <c r="F183" s="341"/>
      <c r="G183" s="341"/>
      <c r="H183" s="342" t="str">
        <f>IF('SGO #1(Tiered or Simple)'!D17=0,"",'SGO #1(Tiered or Simple)'!I18)</f>
        <v/>
      </c>
      <c r="I183" s="342"/>
      <c r="J183" s="342"/>
    </row>
    <row r="184" spans="1:10" s="130" customFormat="1" ht="36" customHeight="1" x14ac:dyDescent="0.25">
      <c r="A184" s="343" t="s">
        <v>354</v>
      </c>
      <c r="B184" s="343"/>
      <c r="C184" s="343"/>
      <c r="D184" s="343"/>
      <c r="E184" s="343"/>
      <c r="F184" s="343"/>
      <c r="G184" s="343"/>
      <c r="H184" s="343"/>
      <c r="I184" s="343"/>
      <c r="J184" s="343"/>
    </row>
    <row r="185" spans="1:10" s="130" customFormat="1" ht="105" customHeight="1" x14ac:dyDescent="0.25">
      <c r="A185" s="323"/>
      <c r="B185" s="323"/>
      <c r="C185" s="323"/>
      <c r="D185" s="323"/>
      <c r="E185" s="323"/>
      <c r="F185" s="323"/>
      <c r="G185" s="323"/>
      <c r="H185" s="323"/>
      <c r="I185" s="323"/>
      <c r="J185" s="323"/>
    </row>
    <row r="186" spans="1:10" x14ac:dyDescent="0.25">
      <c r="A186" s="335" t="s">
        <v>198</v>
      </c>
      <c r="B186" s="336"/>
      <c r="C186" s="336"/>
      <c r="D186" s="336"/>
      <c r="E186" s="336"/>
      <c r="F186" s="336"/>
      <c r="G186" s="336"/>
      <c r="H186" s="336"/>
      <c r="I186" s="336"/>
      <c r="J186" s="336"/>
    </row>
    <row r="187" spans="1:10" ht="29.25" customHeight="1" x14ac:dyDescent="0.25">
      <c r="A187" s="337" t="s">
        <v>318</v>
      </c>
      <c r="B187" s="338"/>
      <c r="C187" s="338"/>
      <c r="D187" s="338"/>
      <c r="E187" s="338"/>
      <c r="F187" s="338"/>
      <c r="G187" s="338"/>
      <c r="H187" s="338"/>
      <c r="I187" s="338"/>
      <c r="J187" s="338"/>
    </row>
    <row r="188" spans="1:10" x14ac:dyDescent="0.25">
      <c r="A188" s="334" t="s">
        <v>342</v>
      </c>
      <c r="B188" s="334"/>
      <c r="C188" s="334" t="s">
        <v>319</v>
      </c>
      <c r="D188" s="334"/>
      <c r="E188" s="334" t="s">
        <v>320</v>
      </c>
      <c r="F188" s="334"/>
      <c r="G188" s="334" t="s">
        <v>321</v>
      </c>
      <c r="H188" s="334"/>
      <c r="I188" s="334" t="s">
        <v>199</v>
      </c>
      <c r="J188" s="334"/>
    </row>
    <row r="189" spans="1:10" x14ac:dyDescent="0.25">
      <c r="A189" s="271" t="s">
        <v>30</v>
      </c>
      <c r="B189" s="220" t="str">
        <f>IF('SGO #1(Tiered or Simple)'!D11=0,"",IF('SGO #1(Tiered or Simple)'!T37=0,'SGO #1(Tiered or Simple)'!S37,'SGO #1(Tiered or Simple)'!U37))</f>
        <v/>
      </c>
      <c r="C189" s="214" t="str">
        <f>IF('SGO #1(Tiered or Simple)'!D11=0,"",'SGO #1(Tiered or Simple)'!H11)</f>
        <v/>
      </c>
      <c r="D189" s="214"/>
      <c r="E189" s="227" t="str">
        <f>IF('SGO #1(Tiered or Simple)'!D11=0,"",'SGO #1(Tiered or Simple)'!I11)</f>
        <v/>
      </c>
      <c r="F189" s="214"/>
      <c r="G189" s="214" t="str">
        <f>IF('SGO #1(Tiered or Simple)'!D11=0,"",'SGO #1(Tiered or Simple)'!J11)</f>
        <v/>
      </c>
      <c r="H189" s="214"/>
      <c r="I189" s="214" t="str">
        <f>IF('SGO #1(Tiered or Simple)'!D11=0,"",'SGO #1(Tiered or Simple)'!K11)</f>
        <v/>
      </c>
      <c r="J189" s="214"/>
    </row>
    <row r="190" spans="1:10" x14ac:dyDescent="0.25">
      <c r="A190" s="271"/>
      <c r="B190" s="220"/>
      <c r="C190" s="214" t="str">
        <f>IF('SGO #1(Tiered or Simple)'!D11=0,"",'SGO #1(Tiered or Simple)'!H12)</f>
        <v/>
      </c>
      <c r="D190" s="214"/>
      <c r="E190" s="214" t="str">
        <f>IF('SGO #1(Tiered or Simple)'!D11=0,"",'SGO #1(Tiered or Simple)'!I12)</f>
        <v/>
      </c>
      <c r="F190" s="214"/>
      <c r="G190" s="214" t="str">
        <f>IF('SGO #1(Tiered or Simple)'!D11=0,"",'SGO #1(Tiered or Simple)'!J12)</f>
        <v/>
      </c>
      <c r="H190" s="214"/>
      <c r="I190" s="214" t="str">
        <f>IF('SGO #1(Tiered or Simple)'!D11=0,"",'SGO #1(Tiered or Simple)'!K12)</f>
        <v/>
      </c>
      <c r="J190" s="214"/>
    </row>
    <row r="191" spans="1:10" x14ac:dyDescent="0.25">
      <c r="A191" s="271" t="s">
        <v>192</v>
      </c>
      <c r="B191" s="220" t="str">
        <f>IF('SGO #1(Tiered or Simple)'!D14=0,"",IF('SGO #1(Tiered or Simple)'!T38=0,'SGO #1(Tiered or Simple)'!S38,'SGO #1(Tiered or Simple)'!U38))</f>
        <v/>
      </c>
      <c r="C191" s="214" t="str">
        <f>IF('SGO #1(Tiered or Simple)'!D14=0,"",'SGO #1(Tiered or Simple)'!H14)</f>
        <v/>
      </c>
      <c r="D191" s="214"/>
      <c r="E191" s="227" t="str">
        <f>IF('SGO #1(Tiered or Simple)'!D14=0,"",'SGO #1(Tiered or Simple)'!I14)</f>
        <v/>
      </c>
      <c r="F191" s="214"/>
      <c r="G191" s="214" t="str">
        <f>IF('SGO #1(Tiered or Simple)'!D14=0,"",'SGO #1(Tiered or Simple)'!J14)</f>
        <v/>
      </c>
      <c r="H191" s="214"/>
      <c r="I191" s="214" t="str">
        <f>IF('SGO #1(Tiered or Simple)'!D14=0,"",'SGO #1(Tiered or Simple)'!K14)</f>
        <v/>
      </c>
      <c r="J191" s="214"/>
    </row>
    <row r="192" spans="1:10" x14ac:dyDescent="0.25">
      <c r="A192" s="271"/>
      <c r="B192" s="220"/>
      <c r="C192" s="214" t="str">
        <f>IF('SGO #1(Tiered or Simple)'!D14=0,"",'SGO #1(Tiered or Simple)'!H15)</f>
        <v/>
      </c>
      <c r="D192" s="214"/>
      <c r="E192" s="214" t="str">
        <f>IF('SGO #1(Tiered or Simple)'!D14=0,"",'SGO #1(Tiered or Simple)'!I15)</f>
        <v/>
      </c>
      <c r="F192" s="214"/>
      <c r="G192" s="214" t="str">
        <f>IF('SGO #1(Tiered or Simple)'!D14=0,"",'SGO #1(Tiered or Simple)'!J15)</f>
        <v/>
      </c>
      <c r="H192" s="214"/>
      <c r="I192" s="214" t="str">
        <f>IF('SGO #1(Tiered or Simple)'!D14=0,"",'SGO #1(Tiered or Simple)'!K15)</f>
        <v/>
      </c>
      <c r="J192" s="214"/>
    </row>
    <row r="193" spans="1:10" x14ac:dyDescent="0.25">
      <c r="A193" s="271" t="s">
        <v>28</v>
      </c>
      <c r="B193" s="220" t="str">
        <f>IF('SGO #1(Tiered or Simple)'!D17=0,"",IF('SGO #1(Tiered or Simple)'!T39=0,'SGO #1(Tiered or Simple)'!S39,'SGO #1(Tiered or Simple)'!U39))</f>
        <v/>
      </c>
      <c r="C193" s="214" t="str">
        <f>IF('SGO #1(Tiered or Simple)'!D17=0,"",'SGO #1(Tiered or Simple)'!H17)</f>
        <v/>
      </c>
      <c r="D193" s="214"/>
      <c r="E193" s="227" t="str">
        <f>IF('SGO #1(Tiered or Simple)'!D17=0,"",'SGO #1(Tiered or Simple)'!I17)</f>
        <v/>
      </c>
      <c r="F193" s="214"/>
      <c r="G193" s="214" t="str">
        <f>IF('SGO #1(Tiered or Simple)'!D17=0,"",'SGO #1(Tiered or Simple)'!J17)</f>
        <v/>
      </c>
      <c r="H193" s="214"/>
      <c r="I193" s="214" t="str">
        <f>IF('SGO #1(Tiered or Simple)'!D17=0,"",'SGO #1(Tiered or Simple)'!K17)</f>
        <v/>
      </c>
      <c r="J193" s="214"/>
    </row>
    <row r="194" spans="1:10" x14ac:dyDescent="0.25">
      <c r="A194" s="271"/>
      <c r="B194" s="220"/>
      <c r="C194" s="214" t="str">
        <f>IF('SGO #1(Tiered or Simple)'!D17=0,"",'SGO #1(Tiered or Simple)'!H18)</f>
        <v/>
      </c>
      <c r="D194" s="214"/>
      <c r="E194" s="214" t="str">
        <f>IF('SGO #1(Tiered or Simple)'!D17=0,"",'SGO #1(Tiered or Simple)'!I18)</f>
        <v/>
      </c>
      <c r="F194" s="214"/>
      <c r="G194" s="214" t="str">
        <f>IF('SGO #1(Tiered or Simple)'!D17=0,"",'SGO #1(Tiered or Simple)'!J18)</f>
        <v/>
      </c>
      <c r="H194" s="214"/>
      <c r="I194" s="214" t="str">
        <f>IF('SGO #1(Tiered or Simple)'!D17=0,"",'SGO #1(Tiered or Simple)'!K18)</f>
        <v/>
      </c>
      <c r="J194" s="214"/>
    </row>
    <row r="195" spans="1:10" ht="29.25" customHeight="1" x14ac:dyDescent="0.25">
      <c r="A195" s="225" t="s">
        <v>322</v>
      </c>
      <c r="B195" s="226"/>
      <c r="C195" s="226"/>
      <c r="D195" s="226"/>
      <c r="E195" s="226"/>
      <c r="F195" s="226"/>
      <c r="G195" s="226"/>
      <c r="H195" s="226"/>
      <c r="I195" s="226"/>
      <c r="J195" s="226"/>
    </row>
    <row r="196" spans="1:10" ht="21" customHeight="1" x14ac:dyDescent="0.25">
      <c r="A196" s="79" t="s">
        <v>323</v>
      </c>
      <c r="B196" s="214">
        <f>C146</f>
        <v>0</v>
      </c>
      <c r="C196" s="214"/>
      <c r="D196" s="79" t="s">
        <v>324</v>
      </c>
      <c r="E196" s="215"/>
      <c r="F196" s="215"/>
      <c r="G196" s="216" t="s">
        <v>325</v>
      </c>
      <c r="H196" s="216"/>
      <c r="I196" s="330"/>
      <c r="J196" s="330"/>
    </row>
    <row r="197" spans="1:10" ht="21" customHeight="1" x14ac:dyDescent="0.25">
      <c r="A197" s="79" t="s">
        <v>326</v>
      </c>
      <c r="B197" s="214">
        <f>C147</f>
        <v>0</v>
      </c>
      <c r="C197" s="214"/>
      <c r="D197" s="79" t="s">
        <v>324</v>
      </c>
      <c r="E197" s="215"/>
      <c r="F197" s="215"/>
      <c r="G197" s="216" t="s">
        <v>327</v>
      </c>
      <c r="H197" s="216"/>
      <c r="I197" s="330"/>
      <c r="J197" s="330"/>
    </row>
    <row r="198" spans="1:10" ht="29.25" customHeight="1" x14ac:dyDescent="0.25">
      <c r="A198" s="218" t="s">
        <v>328</v>
      </c>
      <c r="B198" s="219"/>
      <c r="C198" s="219"/>
      <c r="D198" s="219"/>
      <c r="E198" s="219"/>
      <c r="F198" s="219"/>
      <c r="G198" s="219"/>
      <c r="H198" s="219"/>
      <c r="I198" s="219"/>
      <c r="J198" s="219"/>
    </row>
    <row r="199" spans="1:10" ht="48.75" customHeight="1" x14ac:dyDescent="0.25">
      <c r="A199" s="103" t="s">
        <v>195</v>
      </c>
      <c r="B199" s="124" t="s">
        <v>351</v>
      </c>
      <c r="C199" s="332" t="s">
        <v>352</v>
      </c>
      <c r="D199" s="332"/>
      <c r="E199" s="332" t="s">
        <v>353</v>
      </c>
      <c r="F199" s="332"/>
      <c r="G199" s="89" t="s">
        <v>323</v>
      </c>
      <c r="H199" s="220">
        <f>C146</f>
        <v>0</v>
      </c>
      <c r="I199" s="220"/>
      <c r="J199" s="220"/>
    </row>
    <row r="200" spans="1:10" ht="24" customHeight="1" x14ac:dyDescent="0.25">
      <c r="A200" s="122" t="s">
        <v>30</v>
      </c>
      <c r="B200" s="122" t="str">
        <f>IF('SGO #1(Tiered or Simple)'!D11=0,"",'SGO #1(Tiered or Simple)'!L12)</f>
        <v/>
      </c>
      <c r="C200" s="220" t="str">
        <f>IF('SGO #1(Tiered or Simple)'!D11=0,"",'SGO #1(Tiered or Simple)'!N11)</f>
        <v/>
      </c>
      <c r="D200" s="220"/>
      <c r="E200" s="333" t="e">
        <f>'SGO #1(Tiered or Simple)'!K4</f>
        <v>#DIV/0!</v>
      </c>
      <c r="F200" s="271"/>
      <c r="G200" s="89" t="s">
        <v>326</v>
      </c>
      <c r="H200" s="220">
        <f>C147</f>
        <v>0</v>
      </c>
      <c r="I200" s="220"/>
      <c r="J200" s="220"/>
    </row>
    <row r="201" spans="1:10" ht="24" customHeight="1" x14ac:dyDescent="0.25">
      <c r="A201" s="123" t="s">
        <v>192</v>
      </c>
      <c r="B201" s="123" t="str">
        <f>IF('SGO #1(Tiered or Simple)'!D14=0,"",'SGO #1(Tiered or Simple)'!L15)</f>
        <v/>
      </c>
      <c r="C201" s="271" t="str">
        <f>IF('SGO #1(Tiered or Simple)'!D14=0,"",'SGO #1(Tiered or Simple)'!N14)</f>
        <v/>
      </c>
      <c r="D201" s="271"/>
      <c r="E201" s="271"/>
      <c r="F201" s="271"/>
      <c r="G201" s="89" t="s">
        <v>330</v>
      </c>
      <c r="H201" s="331"/>
      <c r="I201" s="331"/>
      <c r="J201" s="331"/>
    </row>
    <row r="202" spans="1:10" ht="24" customHeight="1" x14ac:dyDescent="0.25">
      <c r="A202" s="123" t="s">
        <v>28</v>
      </c>
      <c r="B202" s="123" t="str">
        <f>IF('SGO #1(Tiered or Simple)'!D17=0,"",'SGO #1(Tiered or Simple)'!L18)</f>
        <v/>
      </c>
      <c r="C202" s="271" t="str">
        <f>IF('SGO #1(Tiered or Simple)'!D17=0,"",'SGO #1(Tiered or Simple)'!N17)</f>
        <v/>
      </c>
      <c r="D202" s="271"/>
      <c r="E202" s="271"/>
      <c r="F202" s="271"/>
      <c r="G202" s="89"/>
      <c r="H202" s="220"/>
      <c r="I202" s="220"/>
      <c r="J202" s="220"/>
    </row>
    <row r="204" spans="1:10" ht="42" customHeight="1" x14ac:dyDescent="0.25">
      <c r="A204" s="208" t="s">
        <v>331</v>
      </c>
      <c r="B204" s="209"/>
      <c r="C204" s="209"/>
      <c r="D204" s="209"/>
      <c r="E204" s="209"/>
      <c r="F204" s="209"/>
      <c r="G204" s="209"/>
      <c r="H204" s="209"/>
      <c r="I204" s="209"/>
      <c r="J204" s="209"/>
    </row>
    <row r="206" spans="1:10" ht="31.5" customHeight="1" x14ac:dyDescent="0.25">
      <c r="A206" s="210" t="s">
        <v>204</v>
      </c>
      <c r="B206" s="210"/>
      <c r="C206" s="222">
        <f>C146</f>
        <v>0</v>
      </c>
      <c r="D206" s="222"/>
      <c r="E206" s="222"/>
      <c r="F206" s="222"/>
      <c r="G206" s="212" t="s">
        <v>330</v>
      </c>
      <c r="H206" s="212"/>
      <c r="I206" s="223"/>
      <c r="J206" s="223"/>
    </row>
    <row r="207" spans="1:10" ht="31.5" customHeight="1" x14ac:dyDescent="0.25">
      <c r="A207" s="211" t="s">
        <v>332</v>
      </c>
      <c r="B207" s="211"/>
      <c r="C207" s="221" t="str">
        <f>C3&amp;"/"&amp;F3</f>
        <v>/</v>
      </c>
      <c r="D207" s="221"/>
      <c r="E207" s="221"/>
      <c r="F207" s="221"/>
      <c r="G207" s="84"/>
      <c r="H207" s="77"/>
      <c r="I207" s="77"/>
    </row>
    <row r="208" spans="1:10" ht="31.5" customHeight="1" x14ac:dyDescent="0.25">
      <c r="A208" s="210" t="s">
        <v>205</v>
      </c>
      <c r="B208" s="210"/>
      <c r="C208" s="221">
        <f>C147</f>
        <v>0</v>
      </c>
      <c r="D208" s="221"/>
      <c r="E208" s="221"/>
      <c r="F208" s="221"/>
      <c r="G208" s="84"/>
      <c r="H208" s="77"/>
      <c r="I208" s="77"/>
    </row>
    <row r="210" spans="1:10" ht="29.25" customHeight="1" x14ac:dyDescent="0.25">
      <c r="A210" s="213" t="s">
        <v>333</v>
      </c>
      <c r="B210" s="213"/>
      <c r="C210" s="213"/>
      <c r="D210" s="213"/>
      <c r="E210" s="213"/>
      <c r="F210" s="213"/>
      <c r="G210" s="213"/>
      <c r="H210" s="213"/>
      <c r="I210" s="213"/>
      <c r="J210" s="213"/>
    </row>
    <row r="212" spans="1:10" x14ac:dyDescent="0.25">
      <c r="A212" s="203" t="s">
        <v>334</v>
      </c>
      <c r="B212" s="203"/>
      <c r="C212" s="203"/>
      <c r="D212" s="203"/>
      <c r="E212" s="203"/>
      <c r="F212" s="203"/>
      <c r="G212" s="203"/>
      <c r="H212" s="203"/>
      <c r="I212" s="203"/>
      <c r="J212" s="203"/>
    </row>
    <row r="213" spans="1:10" ht="75" customHeight="1" x14ac:dyDescent="0.25">
      <c r="A213" s="204"/>
      <c r="B213" s="205"/>
      <c r="C213" s="205"/>
      <c r="D213" s="205"/>
      <c r="E213" s="205"/>
      <c r="F213" s="205"/>
      <c r="G213" s="205"/>
      <c r="H213" s="205"/>
      <c r="I213" s="205"/>
      <c r="J213" s="206"/>
    </row>
    <row r="214" spans="1:10" x14ac:dyDescent="0.25">
      <c r="A214" s="203" t="s">
        <v>335</v>
      </c>
      <c r="B214" s="203"/>
      <c r="C214" s="203"/>
      <c r="D214" s="203"/>
      <c r="E214" s="203"/>
      <c r="F214" s="203"/>
      <c r="G214" s="203"/>
      <c r="H214" s="203"/>
      <c r="I214" s="203"/>
      <c r="J214" s="203"/>
    </row>
    <row r="215" spans="1:10" ht="75" customHeight="1" x14ac:dyDescent="0.25">
      <c r="A215" s="204"/>
      <c r="B215" s="205"/>
      <c r="C215" s="205"/>
      <c r="D215" s="205"/>
      <c r="E215" s="205"/>
      <c r="F215" s="205"/>
      <c r="G215" s="205"/>
      <c r="H215" s="205"/>
      <c r="I215" s="205"/>
      <c r="J215" s="206"/>
    </row>
    <row r="216" spans="1:10" x14ac:dyDescent="0.25">
      <c r="A216" s="203" t="s">
        <v>336</v>
      </c>
      <c r="B216" s="203"/>
      <c r="C216" s="203"/>
      <c r="D216" s="203"/>
      <c r="E216" s="203"/>
      <c r="F216" s="203"/>
      <c r="G216" s="203"/>
      <c r="H216" s="203"/>
      <c r="I216" s="203"/>
      <c r="J216" s="203"/>
    </row>
    <row r="217" spans="1:10" ht="75" customHeight="1" x14ac:dyDescent="0.25">
      <c r="A217" s="204"/>
      <c r="B217" s="205"/>
      <c r="C217" s="205"/>
      <c r="D217" s="205"/>
      <c r="E217" s="205"/>
      <c r="F217" s="205"/>
      <c r="G217" s="205"/>
      <c r="H217" s="205"/>
      <c r="I217" s="205"/>
      <c r="J217" s="206"/>
    </row>
    <row r="218" spans="1:10" x14ac:dyDescent="0.25">
      <c r="A218" s="203" t="s">
        <v>337</v>
      </c>
      <c r="B218" s="203"/>
      <c r="C218" s="203"/>
      <c r="D218" s="203"/>
      <c r="E218" s="203"/>
      <c r="F218" s="203"/>
      <c r="G218" s="203"/>
      <c r="H218" s="203"/>
      <c r="I218" s="203"/>
      <c r="J218" s="203"/>
    </row>
    <row r="219" spans="1:10" ht="75" customHeight="1" x14ac:dyDescent="0.25">
      <c r="A219" s="204"/>
      <c r="B219" s="205"/>
      <c r="C219" s="205"/>
      <c r="D219" s="205"/>
      <c r="E219" s="205"/>
      <c r="F219" s="205"/>
      <c r="G219" s="205"/>
      <c r="H219" s="205"/>
      <c r="I219" s="205"/>
      <c r="J219" s="206"/>
    </row>
    <row r="220" spans="1:10" ht="17.25" customHeight="1" x14ac:dyDescent="0.25">
      <c r="A220" s="91"/>
      <c r="B220" s="91"/>
      <c r="C220" s="91"/>
      <c r="D220" s="91"/>
      <c r="E220" s="91"/>
      <c r="F220" s="91"/>
      <c r="G220" s="91"/>
      <c r="H220" s="91"/>
      <c r="I220" s="91"/>
      <c r="J220" s="91"/>
    </row>
    <row r="221" spans="1:10" ht="36.75" customHeight="1" x14ac:dyDescent="0.25">
      <c r="A221" s="207" t="s">
        <v>338</v>
      </c>
      <c r="B221" s="207"/>
      <c r="C221" s="207"/>
      <c r="D221" s="207"/>
      <c r="E221" s="207"/>
      <c r="F221" s="207"/>
      <c r="G221" s="207"/>
      <c r="H221" s="207"/>
      <c r="I221" s="207"/>
      <c r="J221" s="207"/>
    </row>
    <row r="222" spans="1:10" x14ac:dyDescent="0.25">
      <c r="A222" s="92"/>
      <c r="B222" s="92"/>
      <c r="C222" s="92"/>
      <c r="D222" s="92"/>
      <c r="E222" s="92"/>
      <c r="F222" s="92"/>
      <c r="G222" s="92"/>
      <c r="H222" s="92"/>
      <c r="I222" s="92"/>
      <c r="J222" s="92"/>
    </row>
  </sheetData>
  <sheetProtection password="CC4A" sheet="1" objects="1" scenarios="1" formatCells="0" formatRows="0" selectLockedCells="1"/>
  <mergeCells count="358">
    <mergeCell ref="A1:J1"/>
    <mergeCell ref="A3:B3"/>
    <mergeCell ref="C3:D3"/>
    <mergeCell ref="F3:G3"/>
    <mergeCell ref="A5:B5"/>
    <mergeCell ref="C5:G5"/>
    <mergeCell ref="A15:J15"/>
    <mergeCell ref="A23:J23"/>
    <mergeCell ref="A25:J25"/>
    <mergeCell ref="A27:J27"/>
    <mergeCell ref="A29:B29"/>
    <mergeCell ref="C29:G29"/>
    <mergeCell ref="A7:B7"/>
    <mergeCell ref="C7:G7"/>
    <mergeCell ref="A9:J9"/>
    <mergeCell ref="A10:J10"/>
    <mergeCell ref="A11:J11"/>
    <mergeCell ref="A13:J13"/>
    <mergeCell ref="A36:B36"/>
    <mergeCell ref="C36:F36"/>
    <mergeCell ref="G36:J36"/>
    <mergeCell ref="A51:B51"/>
    <mergeCell ref="C51:F51"/>
    <mergeCell ref="G51:J51"/>
    <mergeCell ref="A31:B31"/>
    <mergeCell ref="C31:G31"/>
    <mergeCell ref="A33:J33"/>
    <mergeCell ref="A35:B35"/>
    <mergeCell ref="C35:F35"/>
    <mergeCell ref="G35:J35"/>
    <mergeCell ref="A37:B37"/>
    <mergeCell ref="A38:B38"/>
    <mergeCell ref="A39:B39"/>
    <mergeCell ref="A40:B40"/>
    <mergeCell ref="A41:B41"/>
    <mergeCell ref="A42:B42"/>
    <mergeCell ref="A43:B43"/>
    <mergeCell ref="A44:B44"/>
    <mergeCell ref="A45:B45"/>
    <mergeCell ref="A46:B46"/>
    <mergeCell ref="A47:B47"/>
    <mergeCell ref="A48:B48"/>
    <mergeCell ref="A54:B54"/>
    <mergeCell ref="C54:F54"/>
    <mergeCell ref="G54:J54"/>
    <mergeCell ref="A55:B55"/>
    <mergeCell ref="C55:F55"/>
    <mergeCell ref="G55:J55"/>
    <mergeCell ref="A52:B52"/>
    <mergeCell ref="C52:F52"/>
    <mergeCell ref="G52:J52"/>
    <mergeCell ref="A53:B53"/>
    <mergeCell ref="C53:F53"/>
    <mergeCell ref="G53:J53"/>
    <mergeCell ref="A58:B58"/>
    <mergeCell ref="C58:F58"/>
    <mergeCell ref="G58:J58"/>
    <mergeCell ref="A59:B59"/>
    <mergeCell ref="C59:F59"/>
    <mergeCell ref="G59:J59"/>
    <mergeCell ref="A56:B56"/>
    <mergeCell ref="C56:F56"/>
    <mergeCell ref="G56:J56"/>
    <mergeCell ref="A57:B57"/>
    <mergeCell ref="C57:F57"/>
    <mergeCell ref="G57:J57"/>
    <mergeCell ref="A62:B62"/>
    <mergeCell ref="C62:F62"/>
    <mergeCell ref="G62:J62"/>
    <mergeCell ref="A63:B63"/>
    <mergeCell ref="C63:F63"/>
    <mergeCell ref="G63:J63"/>
    <mergeCell ref="A60:B60"/>
    <mergeCell ref="C60:F60"/>
    <mergeCell ref="G60:J60"/>
    <mergeCell ref="A61:B61"/>
    <mergeCell ref="C61:F61"/>
    <mergeCell ref="G61:J61"/>
    <mergeCell ref="A66:J66"/>
    <mergeCell ref="A68:B68"/>
    <mergeCell ref="C68:G68"/>
    <mergeCell ref="A70:B70"/>
    <mergeCell ref="C70:G70"/>
    <mergeCell ref="A72:J72"/>
    <mergeCell ref="A64:B64"/>
    <mergeCell ref="C64:F64"/>
    <mergeCell ref="G64:J64"/>
    <mergeCell ref="A65:B65"/>
    <mergeCell ref="C65:F65"/>
    <mergeCell ref="G65:J65"/>
    <mergeCell ref="A73:B73"/>
    <mergeCell ref="C73:D73"/>
    <mergeCell ref="E73:F73"/>
    <mergeCell ref="G73:H73"/>
    <mergeCell ref="I73:J73"/>
    <mergeCell ref="A74:B74"/>
    <mergeCell ref="C74:D74"/>
    <mergeCell ref="E74:F74"/>
    <mergeCell ref="G74:H74"/>
    <mergeCell ref="I74:J74"/>
    <mergeCell ref="A77:B77"/>
    <mergeCell ref="C77:D77"/>
    <mergeCell ref="E77:F77"/>
    <mergeCell ref="G77:H77"/>
    <mergeCell ref="I77:J77"/>
    <mergeCell ref="A79:J79"/>
    <mergeCell ref="A75:B75"/>
    <mergeCell ref="C75:D75"/>
    <mergeCell ref="E75:F75"/>
    <mergeCell ref="G75:H75"/>
    <mergeCell ref="I75:J75"/>
    <mergeCell ref="A76:B76"/>
    <mergeCell ref="C76:D76"/>
    <mergeCell ref="E76:F76"/>
    <mergeCell ref="G76:H76"/>
    <mergeCell ref="I76:J76"/>
    <mergeCell ref="A85:B85"/>
    <mergeCell ref="C85:J85"/>
    <mergeCell ref="A86:B90"/>
    <mergeCell ref="D86:J86"/>
    <mergeCell ref="D87:J87"/>
    <mergeCell ref="D88:J88"/>
    <mergeCell ref="D89:J89"/>
    <mergeCell ref="A81:B81"/>
    <mergeCell ref="C81:G81"/>
    <mergeCell ref="A82:B82"/>
    <mergeCell ref="C82:G82"/>
    <mergeCell ref="A83:B83"/>
    <mergeCell ref="C83:G83"/>
    <mergeCell ref="C90:D90"/>
    <mergeCell ref="E90:J90"/>
    <mergeCell ref="A96:B101"/>
    <mergeCell ref="D96:J96"/>
    <mergeCell ref="D97:J97"/>
    <mergeCell ref="D98:J98"/>
    <mergeCell ref="D99:J99"/>
    <mergeCell ref="D100:J100"/>
    <mergeCell ref="A91:B95"/>
    <mergeCell ref="D91:J91"/>
    <mergeCell ref="D92:J92"/>
    <mergeCell ref="D93:J93"/>
    <mergeCell ref="D94:J94"/>
    <mergeCell ref="C95:D95"/>
    <mergeCell ref="E95:J95"/>
    <mergeCell ref="C101:D101"/>
    <mergeCell ref="E101:J101"/>
    <mergeCell ref="A115:J115"/>
    <mergeCell ref="A117:D117"/>
    <mergeCell ref="F117:J117"/>
    <mergeCell ref="A118:D118"/>
    <mergeCell ref="F118:J118"/>
    <mergeCell ref="A119:D119"/>
    <mergeCell ref="F119:J119"/>
    <mergeCell ref="B104:J104"/>
    <mergeCell ref="B106:J106"/>
    <mergeCell ref="A108:C108"/>
    <mergeCell ref="D108:F108"/>
    <mergeCell ref="I108:J108"/>
    <mergeCell ref="A110:C110"/>
    <mergeCell ref="D110:F110"/>
    <mergeCell ref="I110:J110"/>
    <mergeCell ref="F126:J126"/>
    <mergeCell ref="A127:D129"/>
    <mergeCell ref="F127:J127"/>
    <mergeCell ref="F128:J128"/>
    <mergeCell ref="F129:J129"/>
    <mergeCell ref="A130:D130"/>
    <mergeCell ref="F130:J130"/>
    <mergeCell ref="A120:D120"/>
    <mergeCell ref="F120:G120"/>
    <mergeCell ref="I120:J120"/>
    <mergeCell ref="A121:D121"/>
    <mergeCell ref="F121:J121"/>
    <mergeCell ref="A122:D126"/>
    <mergeCell ref="E122:J122"/>
    <mergeCell ref="F123:J123"/>
    <mergeCell ref="F124:J124"/>
    <mergeCell ref="F125:J125"/>
    <mergeCell ref="A137:D137"/>
    <mergeCell ref="F137:J137"/>
    <mergeCell ref="A143:J143"/>
    <mergeCell ref="A145:B145"/>
    <mergeCell ref="C145:F145"/>
    <mergeCell ref="G145:I145"/>
    <mergeCell ref="A131:D136"/>
    <mergeCell ref="E131:J131"/>
    <mergeCell ref="F132:J132"/>
    <mergeCell ref="F133:J133"/>
    <mergeCell ref="F134:J134"/>
    <mergeCell ref="F135:J135"/>
    <mergeCell ref="F136:J136"/>
    <mergeCell ref="G149:J149"/>
    <mergeCell ref="A150:C150"/>
    <mergeCell ref="D150:F150"/>
    <mergeCell ref="G150:J150"/>
    <mergeCell ref="A151:C151"/>
    <mergeCell ref="D151:F151"/>
    <mergeCell ref="G151:J151"/>
    <mergeCell ref="A146:B146"/>
    <mergeCell ref="C146:F146"/>
    <mergeCell ref="A147:B147"/>
    <mergeCell ref="C147:F147"/>
    <mergeCell ref="A149:C149"/>
    <mergeCell ref="D149:F149"/>
    <mergeCell ref="A158:J158"/>
    <mergeCell ref="A159:J159"/>
    <mergeCell ref="B161:J161"/>
    <mergeCell ref="A163:C163"/>
    <mergeCell ref="D163:F163"/>
    <mergeCell ref="I163:J163"/>
    <mergeCell ref="A152:C152"/>
    <mergeCell ref="D152:F152"/>
    <mergeCell ref="G152:J152"/>
    <mergeCell ref="A154:J154"/>
    <mergeCell ref="A155:J155"/>
    <mergeCell ref="A156:J156"/>
    <mergeCell ref="A172:B174"/>
    <mergeCell ref="C172:D174"/>
    <mergeCell ref="E172:G174"/>
    <mergeCell ref="I174:J174"/>
    <mergeCell ref="A175:B176"/>
    <mergeCell ref="C175:G176"/>
    <mergeCell ref="H175:H176"/>
    <mergeCell ref="A165:C165"/>
    <mergeCell ref="D165:F165"/>
    <mergeCell ref="I165:J165"/>
    <mergeCell ref="A169:J169"/>
    <mergeCell ref="A171:B171"/>
    <mergeCell ref="C171:D171"/>
    <mergeCell ref="E171:G171"/>
    <mergeCell ref="H171:J171"/>
    <mergeCell ref="A177:J177"/>
    <mergeCell ref="A178:J178"/>
    <mergeCell ref="A179:J179"/>
    <mergeCell ref="A186:J186"/>
    <mergeCell ref="A187:J187"/>
    <mergeCell ref="A180:B180"/>
    <mergeCell ref="C180:D180"/>
    <mergeCell ref="E180:G180"/>
    <mergeCell ref="H180:J180"/>
    <mergeCell ref="A183:B183"/>
    <mergeCell ref="C183:D183"/>
    <mergeCell ref="E183:G183"/>
    <mergeCell ref="H183:J183"/>
    <mergeCell ref="A181:B181"/>
    <mergeCell ref="C181:D181"/>
    <mergeCell ref="E181:G181"/>
    <mergeCell ref="H181:J181"/>
    <mergeCell ref="A182:B182"/>
    <mergeCell ref="C182:D182"/>
    <mergeCell ref="E182:G182"/>
    <mergeCell ref="H182:J182"/>
    <mergeCell ref="A184:J184"/>
    <mergeCell ref="A185:J185"/>
    <mergeCell ref="A188:B188"/>
    <mergeCell ref="C188:D188"/>
    <mergeCell ref="E188:F188"/>
    <mergeCell ref="G188:H188"/>
    <mergeCell ref="I188:J188"/>
    <mergeCell ref="C189:D189"/>
    <mergeCell ref="E189:F189"/>
    <mergeCell ref="G189:H189"/>
    <mergeCell ref="I189:J189"/>
    <mergeCell ref="A189:A190"/>
    <mergeCell ref="B189:B190"/>
    <mergeCell ref="C190:D190"/>
    <mergeCell ref="E190:F190"/>
    <mergeCell ref="G190:H190"/>
    <mergeCell ref="I190:J190"/>
    <mergeCell ref="G196:H196"/>
    <mergeCell ref="A219:J219"/>
    <mergeCell ref="A221:J221"/>
    <mergeCell ref="A208:B208"/>
    <mergeCell ref="C208:F208"/>
    <mergeCell ref="A210:J210"/>
    <mergeCell ref="A212:J212"/>
    <mergeCell ref="A213:J213"/>
    <mergeCell ref="A214:J214"/>
    <mergeCell ref="A204:J204"/>
    <mergeCell ref="A206:B206"/>
    <mergeCell ref="C206:F206"/>
    <mergeCell ref="G206:H206"/>
    <mergeCell ref="I206:J206"/>
    <mergeCell ref="A207:B207"/>
    <mergeCell ref="C207:F207"/>
    <mergeCell ref="A215:J215"/>
    <mergeCell ref="A216:J216"/>
    <mergeCell ref="A217:J217"/>
    <mergeCell ref="A218:J218"/>
    <mergeCell ref="B197:C197"/>
    <mergeCell ref="E197:F197"/>
    <mergeCell ref="G197:H197"/>
    <mergeCell ref="I197:J197"/>
    <mergeCell ref="A198:J198"/>
    <mergeCell ref="H199:J199"/>
    <mergeCell ref="H200:J200"/>
    <mergeCell ref="C202:D202"/>
    <mergeCell ref="H201:J201"/>
    <mergeCell ref="H202:J202"/>
    <mergeCell ref="E199:F199"/>
    <mergeCell ref="C199:D199"/>
    <mergeCell ref="E200:F202"/>
    <mergeCell ref="C200:D200"/>
    <mergeCell ref="C201:D201"/>
    <mergeCell ref="I196:J196"/>
    <mergeCell ref="A191:A192"/>
    <mergeCell ref="A193:A194"/>
    <mergeCell ref="C193:D193"/>
    <mergeCell ref="E193:F193"/>
    <mergeCell ref="G193:H193"/>
    <mergeCell ref="I193:J193"/>
    <mergeCell ref="C194:D194"/>
    <mergeCell ref="E194:F194"/>
    <mergeCell ref="G194:H194"/>
    <mergeCell ref="I194:J194"/>
    <mergeCell ref="B191:B192"/>
    <mergeCell ref="B193:B194"/>
    <mergeCell ref="C191:D191"/>
    <mergeCell ref="E191:F191"/>
    <mergeCell ref="G191:H191"/>
    <mergeCell ref="I191:J191"/>
    <mergeCell ref="C192:D192"/>
    <mergeCell ref="E192:F192"/>
    <mergeCell ref="G192:H192"/>
    <mergeCell ref="I192:J192"/>
    <mergeCell ref="A195:J195"/>
    <mergeCell ref="B196:C196"/>
    <mergeCell ref="E196:F196"/>
    <mergeCell ref="A49:B49"/>
    <mergeCell ref="A50:B50"/>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G46:J46"/>
    <mergeCell ref="G47:J47"/>
    <mergeCell ref="G48:J48"/>
    <mergeCell ref="G49:J49"/>
    <mergeCell ref="G50:J50"/>
    <mergeCell ref="G37:J37"/>
    <mergeCell ref="G38:J38"/>
    <mergeCell ref="G39:J39"/>
    <mergeCell ref="G40:J40"/>
    <mergeCell ref="G41:J41"/>
    <mergeCell ref="G42:J42"/>
    <mergeCell ref="G43:J43"/>
    <mergeCell ref="G44:J44"/>
    <mergeCell ref="G45:J45"/>
  </mergeCells>
  <dataValidations disablePrompts="1" count="1">
    <dataValidation type="list" allowBlank="1" showInputMessage="1" showErrorMessage="1" sqref="C86:C89 C91:C94 C96:C100 A104 A106 E123:E125 E132:E135 E127:E128 A161 I172:I173 J175:J176">
      <formula1>"---,X"</formula1>
    </dataValidation>
  </dataValidations>
  <pageMargins left="0.7" right="0.7" top="0.92708333333333337" bottom="0.75" header="0.3" footer="0.3"/>
  <pageSetup scale="98" fitToHeight="0" orientation="portrait" horizontalDpi="300" r:id="rId1"/>
  <headerFooter>
    <oddHeader>&amp;L
&amp;CSGO#1 TIERED(AVERAGE)</oddHeader>
  </headerFooter>
  <rowBreaks count="8" manualBreakCount="8">
    <brk id="25" max="16383" man="1"/>
    <brk id="65" max="16383" man="1"/>
    <brk id="78" max="16383" man="1"/>
    <brk id="113" max="16383" man="1"/>
    <brk id="141" max="16383" man="1"/>
    <brk id="167" max="16383" man="1"/>
    <brk id="185" max="16383" man="1"/>
    <brk id="20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59999389629810485"/>
    <pageSetUpPr fitToPage="1"/>
  </sheetPr>
  <dimension ref="A1:J222"/>
  <sheetViews>
    <sheetView view="pageLayout" zoomScaleNormal="100" workbookViewId="0">
      <selection activeCell="I206" sqref="I206:J206"/>
    </sheetView>
  </sheetViews>
  <sheetFormatPr defaultRowHeight="15" x14ac:dyDescent="0.25"/>
  <sheetData>
    <row r="1" spans="1:10" ht="42.75" customHeight="1" x14ac:dyDescent="0.25">
      <c r="A1" s="208" t="s">
        <v>341</v>
      </c>
      <c r="B1" s="326"/>
      <c r="C1" s="326"/>
      <c r="D1" s="326"/>
      <c r="E1" s="326"/>
      <c r="F1" s="326"/>
      <c r="G1" s="326"/>
      <c r="H1" s="326"/>
      <c r="I1" s="326"/>
      <c r="J1" s="326"/>
    </row>
    <row r="3" spans="1:10" x14ac:dyDescent="0.25">
      <c r="A3" s="210" t="s">
        <v>340</v>
      </c>
      <c r="B3" s="210"/>
      <c r="C3" s="223"/>
      <c r="D3" s="223"/>
      <c r="E3" s="84" t="s">
        <v>339</v>
      </c>
      <c r="F3" s="223"/>
      <c r="G3" s="223"/>
    </row>
    <row r="4" spans="1:10" x14ac:dyDescent="0.25">
      <c r="A4" s="99"/>
      <c r="B4" s="99"/>
      <c r="C4" s="73"/>
    </row>
    <row r="5" spans="1:10" x14ac:dyDescent="0.25">
      <c r="A5" s="210" t="s">
        <v>204</v>
      </c>
      <c r="B5" s="210"/>
      <c r="C5" s="223"/>
      <c r="D5" s="223"/>
      <c r="E5" s="223"/>
      <c r="F5" s="223"/>
      <c r="G5" s="223"/>
    </row>
    <row r="6" spans="1:10" x14ac:dyDescent="0.25">
      <c r="A6" s="99"/>
      <c r="B6" s="99"/>
      <c r="C6" s="73"/>
    </row>
    <row r="7" spans="1:10" x14ac:dyDescent="0.25">
      <c r="A7" s="210" t="s">
        <v>205</v>
      </c>
      <c r="B7" s="210"/>
      <c r="C7" s="223"/>
      <c r="D7" s="223"/>
      <c r="E7" s="223"/>
      <c r="F7" s="223"/>
      <c r="G7" s="223"/>
    </row>
    <row r="9" spans="1:10" ht="54" customHeight="1" x14ac:dyDescent="0.25">
      <c r="A9" s="207" t="s">
        <v>206</v>
      </c>
      <c r="B9" s="207"/>
      <c r="C9" s="207"/>
      <c r="D9" s="207"/>
      <c r="E9" s="207"/>
      <c r="F9" s="207"/>
      <c r="G9" s="207"/>
      <c r="H9" s="207"/>
      <c r="I9" s="207"/>
      <c r="J9" s="207"/>
    </row>
    <row r="10" spans="1:10" ht="11.25" customHeight="1" x14ac:dyDescent="0.25">
      <c r="A10" s="207"/>
      <c r="B10" s="207"/>
      <c r="C10" s="207"/>
      <c r="D10" s="207"/>
      <c r="E10" s="207"/>
      <c r="F10" s="207"/>
      <c r="G10" s="207"/>
      <c r="H10" s="207"/>
      <c r="I10" s="207"/>
      <c r="J10" s="207"/>
    </row>
    <row r="11" spans="1:10" ht="63.75" customHeight="1" x14ac:dyDescent="0.25">
      <c r="A11" s="207" t="s">
        <v>207</v>
      </c>
      <c r="B11" s="207"/>
      <c r="C11" s="207"/>
      <c r="D11" s="207"/>
      <c r="E11" s="207"/>
      <c r="F11" s="207"/>
      <c r="G11" s="207"/>
      <c r="H11" s="207"/>
      <c r="I11" s="207"/>
      <c r="J11" s="207"/>
    </row>
    <row r="12" spans="1:10" ht="10.5" customHeight="1" x14ac:dyDescent="0.25">
      <c r="A12" s="74"/>
      <c r="B12" s="74"/>
      <c r="C12" s="74"/>
      <c r="D12" s="74"/>
      <c r="E12" s="74"/>
      <c r="F12" s="74"/>
      <c r="G12" s="74"/>
      <c r="H12" s="74"/>
      <c r="I12" s="74"/>
      <c r="J12" s="74"/>
    </row>
    <row r="13" spans="1:10" ht="67.5" customHeight="1" x14ac:dyDescent="0.25">
      <c r="A13" s="207" t="s">
        <v>208</v>
      </c>
      <c r="B13" s="207"/>
      <c r="C13" s="207"/>
      <c r="D13" s="207"/>
      <c r="E13" s="207"/>
      <c r="F13" s="207"/>
      <c r="G13" s="207"/>
      <c r="H13" s="207"/>
      <c r="I13" s="207"/>
      <c r="J13" s="207"/>
    </row>
    <row r="14" spans="1:10" ht="9.75" customHeight="1" x14ac:dyDescent="0.25">
      <c r="A14" s="74"/>
      <c r="B14" s="74"/>
      <c r="C14" s="74"/>
      <c r="D14" s="74"/>
      <c r="E14" s="74"/>
      <c r="F14" s="74"/>
      <c r="G14" s="74"/>
      <c r="H14" s="74"/>
      <c r="I14" s="74"/>
      <c r="J14" s="74"/>
    </row>
    <row r="15" spans="1:10" ht="55.5" customHeight="1" x14ac:dyDescent="0.25">
      <c r="A15" s="207" t="s">
        <v>209</v>
      </c>
      <c r="B15" s="207"/>
      <c r="C15" s="207"/>
      <c r="D15" s="207"/>
      <c r="E15" s="207"/>
      <c r="F15" s="207"/>
      <c r="G15" s="207"/>
      <c r="H15" s="207"/>
      <c r="I15" s="207"/>
      <c r="J15" s="207"/>
    </row>
    <row r="16" spans="1:10" ht="8.25" customHeight="1" x14ac:dyDescent="0.25">
      <c r="A16" s="74"/>
      <c r="B16" s="74"/>
      <c r="C16" s="74"/>
      <c r="D16" s="74"/>
      <c r="E16" s="74"/>
      <c r="F16" s="74"/>
      <c r="G16" s="74"/>
      <c r="H16" s="74"/>
      <c r="I16" s="74"/>
      <c r="J16" s="74"/>
    </row>
    <row r="17" spans="1:10" x14ac:dyDescent="0.25">
      <c r="A17" s="76" t="s">
        <v>210</v>
      </c>
      <c r="B17" s="74"/>
      <c r="C17" s="74"/>
      <c r="D17" s="74"/>
      <c r="E17" s="74"/>
      <c r="F17" s="74"/>
      <c r="G17" s="74"/>
      <c r="H17" s="74"/>
      <c r="I17" s="74"/>
      <c r="J17" s="74"/>
    </row>
    <row r="18" spans="1:10" x14ac:dyDescent="0.25">
      <c r="A18" s="76" t="s">
        <v>211</v>
      </c>
      <c r="B18" s="74"/>
      <c r="C18" s="74"/>
      <c r="D18" s="74"/>
      <c r="E18" s="74"/>
      <c r="F18" s="74"/>
      <c r="G18" s="74"/>
      <c r="H18" s="74"/>
      <c r="I18" s="74"/>
      <c r="J18" s="74"/>
    </row>
    <row r="19" spans="1:10" x14ac:dyDescent="0.25">
      <c r="A19" s="76" t="s">
        <v>212</v>
      </c>
      <c r="B19" s="74"/>
      <c r="C19" s="74"/>
      <c r="D19" s="74"/>
      <c r="E19" s="74"/>
      <c r="F19" s="74"/>
      <c r="G19" s="74"/>
      <c r="H19" s="74"/>
      <c r="I19" s="74"/>
      <c r="J19" s="74"/>
    </row>
    <row r="20" spans="1:10" x14ac:dyDescent="0.25">
      <c r="A20" s="76" t="s">
        <v>213</v>
      </c>
      <c r="B20" s="74"/>
      <c r="C20" s="74"/>
      <c r="D20" s="74"/>
      <c r="E20" s="74"/>
      <c r="F20" s="74"/>
      <c r="G20" s="74"/>
      <c r="H20" s="74"/>
      <c r="I20" s="74"/>
      <c r="J20" s="74"/>
    </row>
    <row r="21" spans="1:10" x14ac:dyDescent="0.25">
      <c r="A21" s="76" t="s">
        <v>214</v>
      </c>
      <c r="B21" s="74"/>
      <c r="C21" s="74"/>
      <c r="D21" s="74"/>
      <c r="E21" s="74"/>
      <c r="F21" s="74"/>
      <c r="G21" s="74"/>
      <c r="H21" s="74"/>
      <c r="I21" s="74"/>
      <c r="J21" s="74"/>
    </row>
    <row r="22" spans="1:10" ht="10.5" customHeight="1" x14ac:dyDescent="0.25">
      <c r="A22" s="74"/>
      <c r="B22" s="74"/>
      <c r="C22" s="74"/>
      <c r="D22" s="74"/>
      <c r="E22" s="74"/>
      <c r="F22" s="74"/>
      <c r="G22" s="74"/>
      <c r="H22" s="74"/>
      <c r="I22" s="74"/>
      <c r="J22" s="74"/>
    </row>
    <row r="23" spans="1:10" ht="34.5" customHeight="1" x14ac:dyDescent="0.25">
      <c r="A23" s="207" t="s">
        <v>215</v>
      </c>
      <c r="B23" s="207"/>
      <c r="C23" s="207"/>
      <c r="D23" s="207"/>
      <c r="E23" s="207"/>
      <c r="F23" s="207"/>
      <c r="G23" s="207"/>
      <c r="H23" s="207"/>
      <c r="I23" s="207"/>
      <c r="J23" s="207"/>
    </row>
    <row r="24" spans="1:10" ht="9.75" customHeight="1" x14ac:dyDescent="0.25">
      <c r="A24" s="74"/>
      <c r="B24" s="74"/>
      <c r="C24" s="74"/>
      <c r="D24" s="74"/>
      <c r="E24" s="74"/>
      <c r="F24" s="74"/>
      <c r="G24" s="74"/>
      <c r="H24" s="74"/>
      <c r="I24" s="74"/>
      <c r="J24" s="74"/>
    </row>
    <row r="25" spans="1:10" ht="51.75" customHeight="1" x14ac:dyDescent="0.25">
      <c r="A25" s="207" t="s">
        <v>216</v>
      </c>
      <c r="B25" s="207"/>
      <c r="C25" s="207"/>
      <c r="D25" s="207"/>
      <c r="E25" s="207"/>
      <c r="F25" s="207"/>
      <c r="G25" s="207"/>
      <c r="H25" s="207"/>
      <c r="I25" s="207"/>
      <c r="J25" s="207"/>
    </row>
    <row r="26" spans="1:10" x14ac:dyDescent="0.25">
      <c r="A26" s="74"/>
      <c r="B26" s="74"/>
      <c r="C26" s="74"/>
      <c r="D26" s="74"/>
      <c r="E26" s="74"/>
      <c r="F26" s="74"/>
      <c r="G26" s="74"/>
      <c r="H26" s="74"/>
      <c r="I26" s="74"/>
      <c r="J26" s="74"/>
    </row>
    <row r="27" spans="1:10" ht="41.25" customHeight="1" x14ac:dyDescent="0.25">
      <c r="A27" s="208" t="s">
        <v>217</v>
      </c>
      <c r="B27" s="208"/>
      <c r="C27" s="208"/>
      <c r="D27" s="208"/>
      <c r="E27" s="208"/>
      <c r="F27" s="208"/>
      <c r="G27" s="208"/>
      <c r="H27" s="208"/>
      <c r="I27" s="208"/>
      <c r="J27" s="208"/>
    </row>
    <row r="28" spans="1:10" x14ac:dyDescent="0.25">
      <c r="A28" s="74"/>
      <c r="B28" s="74"/>
      <c r="C28" s="74"/>
      <c r="D28" s="74"/>
      <c r="E28" s="74"/>
      <c r="F28" s="74"/>
      <c r="G28" s="74"/>
      <c r="H28" s="74"/>
      <c r="I28" s="74"/>
      <c r="J28" s="74"/>
    </row>
    <row r="29" spans="1:10" x14ac:dyDescent="0.25">
      <c r="A29" s="210" t="s">
        <v>203</v>
      </c>
      <c r="B29" s="210"/>
      <c r="C29" s="327">
        <f>C3</f>
        <v>0</v>
      </c>
      <c r="D29" s="327"/>
      <c r="E29" s="327"/>
      <c r="F29" s="327"/>
      <c r="G29" s="327"/>
    </row>
    <row r="30" spans="1:10" x14ac:dyDescent="0.25">
      <c r="A30" s="99"/>
      <c r="B30" s="99"/>
      <c r="C30" s="95"/>
      <c r="D30" s="64"/>
      <c r="E30" s="64"/>
      <c r="F30" s="64"/>
      <c r="G30" s="64"/>
    </row>
    <row r="31" spans="1:10" x14ac:dyDescent="0.25">
      <c r="A31" s="210" t="s">
        <v>204</v>
      </c>
      <c r="B31" s="210"/>
      <c r="C31" s="321">
        <f>C5</f>
        <v>0</v>
      </c>
      <c r="D31" s="321"/>
      <c r="E31" s="321"/>
      <c r="F31" s="321"/>
      <c r="G31" s="321"/>
    </row>
    <row r="33" spans="1:10" ht="63" customHeight="1" x14ac:dyDescent="0.25">
      <c r="A33" s="207" t="s">
        <v>218</v>
      </c>
      <c r="B33" s="207"/>
      <c r="C33" s="207"/>
      <c r="D33" s="207"/>
      <c r="E33" s="207"/>
      <c r="F33" s="207"/>
      <c r="G33" s="207"/>
      <c r="H33" s="207"/>
      <c r="I33" s="207"/>
      <c r="J33" s="207"/>
    </row>
    <row r="35" spans="1:10" ht="30.75" customHeight="1" x14ac:dyDescent="0.25">
      <c r="A35" s="328" t="s">
        <v>219</v>
      </c>
      <c r="B35" s="328"/>
      <c r="C35" s="328" t="s">
        <v>220</v>
      </c>
      <c r="D35" s="328"/>
      <c r="E35" s="328"/>
      <c r="F35" s="328"/>
      <c r="G35" s="328" t="s">
        <v>221</v>
      </c>
      <c r="H35" s="328"/>
      <c r="I35" s="328"/>
      <c r="J35" s="328"/>
    </row>
    <row r="36" spans="1:10" ht="24" customHeight="1" x14ac:dyDescent="0.25">
      <c r="A36" s="217"/>
      <c r="B36" s="217"/>
      <c r="C36" s="217"/>
      <c r="D36" s="217"/>
      <c r="E36" s="217"/>
      <c r="F36" s="217"/>
      <c r="G36" s="217"/>
      <c r="H36" s="217"/>
      <c r="I36" s="217"/>
      <c r="J36" s="217"/>
    </row>
    <row r="37" spans="1:10" s="121" customFormat="1" ht="24" customHeight="1" x14ac:dyDescent="0.25">
      <c r="A37" s="247"/>
      <c r="B37" s="248"/>
      <c r="C37" s="247"/>
      <c r="D37" s="329"/>
      <c r="E37" s="329"/>
      <c r="F37" s="248"/>
      <c r="G37" s="247"/>
      <c r="H37" s="329"/>
      <c r="I37" s="329"/>
      <c r="J37" s="248"/>
    </row>
    <row r="38" spans="1:10" s="121" customFormat="1" ht="24" customHeight="1" x14ac:dyDescent="0.25">
      <c r="A38" s="247"/>
      <c r="B38" s="248"/>
      <c r="C38" s="247"/>
      <c r="D38" s="329"/>
      <c r="E38" s="329"/>
      <c r="F38" s="248"/>
      <c r="G38" s="247"/>
      <c r="H38" s="329"/>
      <c r="I38" s="329"/>
      <c r="J38" s="248"/>
    </row>
    <row r="39" spans="1:10" s="121" customFormat="1" ht="24" customHeight="1" x14ac:dyDescent="0.25">
      <c r="A39" s="247"/>
      <c r="B39" s="248"/>
      <c r="C39" s="247"/>
      <c r="D39" s="329"/>
      <c r="E39" s="329"/>
      <c r="F39" s="248"/>
      <c r="G39" s="247"/>
      <c r="H39" s="329"/>
      <c r="I39" s="329"/>
      <c r="J39" s="248"/>
    </row>
    <row r="40" spans="1:10" s="121" customFormat="1" ht="24" customHeight="1" x14ac:dyDescent="0.25">
      <c r="A40" s="247"/>
      <c r="B40" s="248"/>
      <c r="C40" s="247"/>
      <c r="D40" s="329"/>
      <c r="E40" s="329"/>
      <c r="F40" s="248"/>
      <c r="G40" s="247"/>
      <c r="H40" s="329"/>
      <c r="I40" s="329"/>
      <c r="J40" s="248"/>
    </row>
    <row r="41" spans="1:10" s="121" customFormat="1" ht="24" customHeight="1" x14ac:dyDescent="0.25">
      <c r="A41" s="247"/>
      <c r="B41" s="248"/>
      <c r="C41" s="247"/>
      <c r="D41" s="329"/>
      <c r="E41" s="329"/>
      <c r="F41" s="248"/>
      <c r="G41" s="247"/>
      <c r="H41" s="329"/>
      <c r="I41" s="329"/>
      <c r="J41" s="248"/>
    </row>
    <row r="42" spans="1:10" s="121" customFormat="1" ht="24" customHeight="1" x14ac:dyDescent="0.25">
      <c r="A42" s="247"/>
      <c r="B42" s="248"/>
      <c r="C42" s="247"/>
      <c r="D42" s="329"/>
      <c r="E42" s="329"/>
      <c r="F42" s="248"/>
      <c r="G42" s="247"/>
      <c r="H42" s="329"/>
      <c r="I42" s="329"/>
      <c r="J42" s="248"/>
    </row>
    <row r="43" spans="1:10" s="121" customFormat="1" ht="24" customHeight="1" x14ac:dyDescent="0.25">
      <c r="A43" s="247"/>
      <c r="B43" s="248"/>
      <c r="C43" s="247"/>
      <c r="D43" s="329"/>
      <c r="E43" s="329"/>
      <c r="F43" s="248"/>
      <c r="G43" s="247"/>
      <c r="H43" s="329"/>
      <c r="I43" s="329"/>
      <c r="J43" s="248"/>
    </row>
    <row r="44" spans="1:10" s="121" customFormat="1" ht="24" customHeight="1" x14ac:dyDescent="0.25">
      <c r="A44" s="247"/>
      <c r="B44" s="248"/>
      <c r="C44" s="247"/>
      <c r="D44" s="329"/>
      <c r="E44" s="329"/>
      <c r="F44" s="248"/>
      <c r="G44" s="247"/>
      <c r="H44" s="329"/>
      <c r="I44" s="329"/>
      <c r="J44" s="248"/>
    </row>
    <row r="45" spans="1:10" s="121" customFormat="1" ht="24" customHeight="1" x14ac:dyDescent="0.25">
      <c r="A45" s="247"/>
      <c r="B45" s="248"/>
      <c r="C45" s="247"/>
      <c r="D45" s="329"/>
      <c r="E45" s="329"/>
      <c r="F45" s="248"/>
      <c r="G45" s="247"/>
      <c r="H45" s="329"/>
      <c r="I45" s="329"/>
      <c r="J45" s="248"/>
    </row>
    <row r="46" spans="1:10" s="121" customFormat="1" ht="24" customHeight="1" x14ac:dyDescent="0.25">
      <c r="A46" s="247"/>
      <c r="B46" s="248"/>
      <c r="C46" s="247"/>
      <c r="D46" s="329"/>
      <c r="E46" s="329"/>
      <c r="F46" s="248"/>
      <c r="G46" s="247"/>
      <c r="H46" s="329"/>
      <c r="I46" s="329"/>
      <c r="J46" s="248"/>
    </row>
    <row r="47" spans="1:10" s="121" customFormat="1" ht="24" customHeight="1" x14ac:dyDescent="0.25">
      <c r="A47" s="247"/>
      <c r="B47" s="248"/>
      <c r="C47" s="247"/>
      <c r="D47" s="329"/>
      <c r="E47" s="329"/>
      <c r="F47" s="248"/>
      <c r="G47" s="247"/>
      <c r="H47" s="329"/>
      <c r="I47" s="329"/>
      <c r="J47" s="248"/>
    </row>
    <row r="48" spans="1:10" s="121" customFormat="1" ht="24" customHeight="1" x14ac:dyDescent="0.25">
      <c r="A48" s="247"/>
      <c r="B48" s="248"/>
      <c r="C48" s="247"/>
      <c r="D48" s="329"/>
      <c r="E48" s="329"/>
      <c r="F48" s="248"/>
      <c r="G48" s="247"/>
      <c r="H48" s="329"/>
      <c r="I48" s="329"/>
      <c r="J48" s="248"/>
    </row>
    <row r="49" spans="1:10" s="121" customFormat="1" ht="24" customHeight="1" x14ac:dyDescent="0.25">
      <c r="A49" s="247"/>
      <c r="B49" s="248"/>
      <c r="C49" s="247"/>
      <c r="D49" s="329"/>
      <c r="E49" s="329"/>
      <c r="F49" s="248"/>
      <c r="G49" s="247"/>
      <c r="H49" s="329"/>
      <c r="I49" s="329"/>
      <c r="J49" s="248"/>
    </row>
    <row r="50" spans="1:10" s="121" customFormat="1" ht="24" customHeight="1" x14ac:dyDescent="0.25">
      <c r="A50" s="247"/>
      <c r="B50" s="248"/>
      <c r="C50" s="247"/>
      <c r="D50" s="329"/>
      <c r="E50" s="329"/>
      <c r="F50" s="248"/>
      <c r="G50" s="247"/>
      <c r="H50" s="329"/>
      <c r="I50" s="329"/>
      <c r="J50" s="248"/>
    </row>
    <row r="51" spans="1:10" ht="24" customHeight="1" x14ac:dyDescent="0.25">
      <c r="A51" s="217"/>
      <c r="B51" s="217"/>
      <c r="C51" s="217"/>
      <c r="D51" s="217"/>
      <c r="E51" s="217"/>
      <c r="F51" s="217"/>
      <c r="G51" s="217"/>
      <c r="H51" s="217"/>
      <c r="I51" s="217"/>
      <c r="J51" s="217"/>
    </row>
    <row r="52" spans="1:10" ht="24" customHeight="1" x14ac:dyDescent="0.25">
      <c r="A52" s="217"/>
      <c r="B52" s="217"/>
      <c r="C52" s="217"/>
      <c r="D52" s="217"/>
      <c r="E52" s="217"/>
      <c r="F52" s="217"/>
      <c r="G52" s="217"/>
      <c r="H52" s="217"/>
      <c r="I52" s="217"/>
      <c r="J52" s="217"/>
    </row>
    <row r="53" spans="1:10" ht="24" customHeight="1" x14ac:dyDescent="0.25">
      <c r="A53" s="217"/>
      <c r="B53" s="217"/>
      <c r="C53" s="217"/>
      <c r="D53" s="217"/>
      <c r="E53" s="217"/>
      <c r="F53" s="217"/>
      <c r="G53" s="217"/>
      <c r="H53" s="217"/>
      <c r="I53" s="217"/>
      <c r="J53" s="217"/>
    </row>
    <row r="54" spans="1:10" ht="24" customHeight="1" x14ac:dyDescent="0.25">
      <c r="A54" s="217"/>
      <c r="B54" s="217"/>
      <c r="C54" s="217"/>
      <c r="D54" s="217"/>
      <c r="E54" s="217"/>
      <c r="F54" s="217"/>
      <c r="G54" s="217"/>
      <c r="H54" s="217"/>
      <c r="I54" s="217"/>
      <c r="J54" s="217"/>
    </row>
    <row r="55" spans="1:10" ht="24" customHeight="1" x14ac:dyDescent="0.25">
      <c r="A55" s="217"/>
      <c r="B55" s="217"/>
      <c r="C55" s="217"/>
      <c r="D55" s="217"/>
      <c r="E55" s="217"/>
      <c r="F55" s="217"/>
      <c r="G55" s="217"/>
      <c r="H55" s="217"/>
      <c r="I55" s="217"/>
      <c r="J55" s="217"/>
    </row>
    <row r="56" spans="1:10" ht="24" customHeight="1" x14ac:dyDescent="0.25">
      <c r="A56" s="217"/>
      <c r="B56" s="217"/>
      <c r="C56" s="217"/>
      <c r="D56" s="217"/>
      <c r="E56" s="217"/>
      <c r="F56" s="217"/>
      <c r="G56" s="217"/>
      <c r="H56" s="217"/>
      <c r="I56" s="217"/>
      <c r="J56" s="217"/>
    </row>
    <row r="57" spans="1:10" ht="24" customHeight="1" x14ac:dyDescent="0.25">
      <c r="A57" s="217"/>
      <c r="B57" s="217"/>
      <c r="C57" s="217"/>
      <c r="D57" s="217"/>
      <c r="E57" s="217"/>
      <c r="F57" s="217"/>
      <c r="G57" s="217"/>
      <c r="H57" s="217"/>
      <c r="I57" s="217"/>
      <c r="J57" s="217"/>
    </row>
    <row r="58" spans="1:10" ht="24" customHeight="1" x14ac:dyDescent="0.25">
      <c r="A58" s="217"/>
      <c r="B58" s="217"/>
      <c r="C58" s="217"/>
      <c r="D58" s="217"/>
      <c r="E58" s="217"/>
      <c r="F58" s="217"/>
      <c r="G58" s="217"/>
      <c r="H58" s="217"/>
      <c r="I58" s="217"/>
      <c r="J58" s="217"/>
    </row>
    <row r="59" spans="1:10" ht="24" customHeight="1" x14ac:dyDescent="0.25">
      <c r="A59" s="217"/>
      <c r="B59" s="217"/>
      <c r="C59" s="217"/>
      <c r="D59" s="217"/>
      <c r="E59" s="217"/>
      <c r="F59" s="217"/>
      <c r="G59" s="217"/>
      <c r="H59" s="217"/>
      <c r="I59" s="217"/>
      <c r="J59" s="217"/>
    </row>
    <row r="60" spans="1:10" ht="24" customHeight="1" x14ac:dyDescent="0.25">
      <c r="A60" s="217"/>
      <c r="B60" s="217"/>
      <c r="C60" s="217"/>
      <c r="D60" s="217"/>
      <c r="E60" s="217"/>
      <c r="F60" s="217"/>
      <c r="G60" s="217"/>
      <c r="H60" s="217"/>
      <c r="I60" s="217"/>
      <c r="J60" s="217"/>
    </row>
    <row r="61" spans="1:10" ht="24" customHeight="1" x14ac:dyDescent="0.25">
      <c r="A61" s="217"/>
      <c r="B61" s="217"/>
      <c r="C61" s="217"/>
      <c r="D61" s="217"/>
      <c r="E61" s="217"/>
      <c r="F61" s="217"/>
      <c r="G61" s="217"/>
      <c r="H61" s="217"/>
      <c r="I61" s="217"/>
      <c r="J61" s="217"/>
    </row>
    <row r="62" spans="1:10" ht="24" customHeight="1" x14ac:dyDescent="0.25">
      <c r="A62" s="217"/>
      <c r="B62" s="217"/>
      <c r="C62" s="217"/>
      <c r="D62" s="217"/>
      <c r="E62" s="217"/>
      <c r="F62" s="217"/>
      <c r="G62" s="217"/>
      <c r="H62" s="217"/>
      <c r="I62" s="217"/>
      <c r="J62" s="217"/>
    </row>
    <row r="63" spans="1:10" ht="24" customHeight="1" x14ac:dyDescent="0.25">
      <c r="A63" s="217"/>
      <c r="B63" s="217"/>
      <c r="C63" s="217"/>
      <c r="D63" s="217"/>
      <c r="E63" s="217"/>
      <c r="F63" s="217"/>
      <c r="G63" s="217"/>
      <c r="H63" s="217"/>
      <c r="I63" s="217"/>
      <c r="J63" s="217"/>
    </row>
    <row r="64" spans="1:10" ht="24" customHeight="1" x14ac:dyDescent="0.25">
      <c r="A64" s="217"/>
      <c r="B64" s="217"/>
      <c r="C64" s="217"/>
      <c r="D64" s="217"/>
      <c r="E64" s="217"/>
      <c r="F64" s="217"/>
      <c r="G64" s="217"/>
      <c r="H64" s="217"/>
      <c r="I64" s="217"/>
      <c r="J64" s="217"/>
    </row>
    <row r="65" spans="1:10" ht="24" customHeight="1" x14ac:dyDescent="0.25">
      <c r="A65" s="217"/>
      <c r="B65" s="217"/>
      <c r="C65" s="217"/>
      <c r="D65" s="217"/>
      <c r="E65" s="217"/>
      <c r="F65" s="217"/>
      <c r="G65" s="217"/>
      <c r="H65" s="217"/>
      <c r="I65" s="217"/>
      <c r="J65" s="217"/>
    </row>
    <row r="66" spans="1:10" ht="40.5" customHeight="1" x14ac:dyDescent="0.25">
      <c r="A66" s="208" t="s">
        <v>222</v>
      </c>
      <c r="B66" s="209"/>
      <c r="C66" s="209"/>
      <c r="D66" s="209"/>
      <c r="E66" s="209"/>
      <c r="F66" s="209"/>
      <c r="G66" s="209"/>
      <c r="H66" s="209"/>
      <c r="I66" s="209"/>
      <c r="J66" s="209"/>
    </row>
    <row r="68" spans="1:10" x14ac:dyDescent="0.25">
      <c r="A68" s="210" t="s">
        <v>203</v>
      </c>
      <c r="B68" s="210"/>
      <c r="C68" s="321" t="str">
        <f>C3&amp;"/"&amp;F3</f>
        <v>/</v>
      </c>
      <c r="D68" s="321"/>
      <c r="E68" s="321"/>
      <c r="F68" s="321"/>
      <c r="G68" s="321"/>
    </row>
    <row r="69" spans="1:10" x14ac:dyDescent="0.25">
      <c r="A69" s="99"/>
      <c r="B69" s="99"/>
      <c r="C69" s="73"/>
    </row>
    <row r="70" spans="1:10" x14ac:dyDescent="0.25">
      <c r="A70" s="210" t="s">
        <v>204</v>
      </c>
      <c r="B70" s="210"/>
      <c r="C70" s="321">
        <f>C5</f>
        <v>0</v>
      </c>
      <c r="D70" s="321"/>
      <c r="E70" s="321"/>
      <c r="F70" s="321"/>
      <c r="G70" s="321"/>
    </row>
    <row r="72" spans="1:10" ht="49.5" customHeight="1" x14ac:dyDescent="0.25">
      <c r="A72" s="207" t="s">
        <v>223</v>
      </c>
      <c r="B72" s="207"/>
      <c r="C72" s="207"/>
      <c r="D72" s="207"/>
      <c r="E72" s="207"/>
      <c r="F72" s="207"/>
      <c r="G72" s="207"/>
      <c r="H72" s="207"/>
      <c r="I72" s="207"/>
      <c r="J72" s="207"/>
    </row>
    <row r="73" spans="1:10" ht="45.75" customHeight="1" x14ac:dyDescent="0.25">
      <c r="A73" s="325" t="s">
        <v>224</v>
      </c>
      <c r="B73" s="325"/>
      <c r="C73" s="325" t="s">
        <v>225</v>
      </c>
      <c r="D73" s="325"/>
      <c r="E73" s="325" t="s">
        <v>226</v>
      </c>
      <c r="F73" s="325"/>
      <c r="G73" s="325" t="s">
        <v>227</v>
      </c>
      <c r="H73" s="325"/>
      <c r="I73" s="325" t="s">
        <v>221</v>
      </c>
      <c r="J73" s="325"/>
    </row>
    <row r="74" spans="1:10" ht="115.5" customHeight="1" x14ac:dyDescent="0.25">
      <c r="A74" s="322" t="s">
        <v>228</v>
      </c>
      <c r="B74" s="322"/>
      <c r="C74" s="291" t="s">
        <v>232</v>
      </c>
      <c r="D74" s="291"/>
      <c r="E74" s="291" t="s">
        <v>236</v>
      </c>
      <c r="F74" s="291"/>
      <c r="G74" s="291" t="s">
        <v>237</v>
      </c>
      <c r="H74" s="291"/>
      <c r="I74" s="323"/>
      <c r="J74" s="323"/>
    </row>
    <row r="75" spans="1:10" ht="115.5" customHeight="1" x14ac:dyDescent="0.25">
      <c r="A75" s="322" t="s">
        <v>229</v>
      </c>
      <c r="B75" s="322"/>
      <c r="C75" s="291" t="s">
        <v>233</v>
      </c>
      <c r="D75" s="291"/>
      <c r="E75" s="291" t="s">
        <v>238</v>
      </c>
      <c r="F75" s="291"/>
      <c r="G75" s="291" t="s">
        <v>239</v>
      </c>
      <c r="H75" s="291"/>
      <c r="I75" s="323"/>
      <c r="J75" s="323"/>
    </row>
    <row r="76" spans="1:10" ht="115.5" customHeight="1" x14ac:dyDescent="0.25">
      <c r="A76" s="322" t="s">
        <v>230</v>
      </c>
      <c r="B76" s="322"/>
      <c r="C76" s="291" t="s">
        <v>234</v>
      </c>
      <c r="D76" s="291"/>
      <c r="E76" s="291" t="s">
        <v>240</v>
      </c>
      <c r="F76" s="291"/>
      <c r="G76" s="291" t="s">
        <v>241</v>
      </c>
      <c r="H76" s="291"/>
      <c r="I76" s="323"/>
      <c r="J76" s="323"/>
    </row>
    <row r="77" spans="1:10" ht="115.5" customHeight="1" x14ac:dyDescent="0.25">
      <c r="A77" s="322" t="s">
        <v>231</v>
      </c>
      <c r="B77" s="322"/>
      <c r="C77" s="324" t="s">
        <v>235</v>
      </c>
      <c r="D77" s="324"/>
      <c r="E77" s="291" t="s">
        <v>242</v>
      </c>
      <c r="F77" s="291"/>
      <c r="G77" s="291" t="s">
        <v>243</v>
      </c>
      <c r="H77" s="291"/>
      <c r="I77" s="323"/>
      <c r="J77" s="323"/>
    </row>
    <row r="79" spans="1:10" ht="44.25" customHeight="1" x14ac:dyDescent="0.25">
      <c r="A79" s="208" t="s">
        <v>244</v>
      </c>
      <c r="B79" s="209"/>
      <c r="C79" s="209"/>
      <c r="D79" s="209"/>
      <c r="E79" s="209"/>
      <c r="F79" s="209"/>
      <c r="G79" s="209"/>
      <c r="H79" s="209"/>
      <c r="I79" s="209"/>
      <c r="J79" s="209"/>
    </row>
    <row r="80" spans="1:10" ht="10.5" customHeight="1" x14ac:dyDescent="0.25"/>
    <row r="81" spans="1:10" x14ac:dyDescent="0.25">
      <c r="A81" s="210" t="s">
        <v>203</v>
      </c>
      <c r="B81" s="210"/>
      <c r="C81" s="321" t="str">
        <f>C3&amp;"/"&amp;F3</f>
        <v>/</v>
      </c>
      <c r="D81" s="321"/>
      <c r="E81" s="321"/>
      <c r="F81" s="321"/>
      <c r="G81" s="321"/>
    </row>
    <row r="82" spans="1:10" x14ac:dyDescent="0.25">
      <c r="A82" s="210" t="s">
        <v>204</v>
      </c>
      <c r="B82" s="210"/>
      <c r="C82" s="321">
        <f>C5</f>
        <v>0</v>
      </c>
      <c r="D82" s="321"/>
      <c r="E82" s="321"/>
      <c r="F82" s="321"/>
      <c r="G82" s="321"/>
    </row>
    <row r="83" spans="1:10" x14ac:dyDescent="0.25">
      <c r="A83" s="210" t="s">
        <v>205</v>
      </c>
      <c r="B83" s="210"/>
      <c r="C83" s="321">
        <f>C7</f>
        <v>0</v>
      </c>
      <c r="D83" s="321"/>
      <c r="E83" s="321"/>
      <c r="F83" s="321"/>
      <c r="G83" s="321"/>
    </row>
    <row r="84" spans="1:10" ht="10.5" customHeight="1" x14ac:dyDescent="0.25"/>
    <row r="85" spans="1:10" x14ac:dyDescent="0.25">
      <c r="A85" s="316" t="s">
        <v>245</v>
      </c>
      <c r="B85" s="316"/>
      <c r="C85" s="316" t="s">
        <v>246</v>
      </c>
      <c r="D85" s="316"/>
      <c r="E85" s="316"/>
      <c r="F85" s="316"/>
      <c r="G85" s="316"/>
      <c r="H85" s="316"/>
      <c r="I85" s="316"/>
      <c r="J85" s="316"/>
    </row>
    <row r="86" spans="1:10" x14ac:dyDescent="0.25">
      <c r="A86" s="317" t="s">
        <v>252</v>
      </c>
      <c r="B86" s="317"/>
      <c r="C86" s="101"/>
      <c r="D86" s="318" t="s">
        <v>247</v>
      </c>
      <c r="E86" s="318"/>
      <c r="F86" s="318"/>
      <c r="G86" s="318"/>
      <c r="H86" s="318"/>
      <c r="I86" s="318"/>
      <c r="J86" s="318"/>
    </row>
    <row r="87" spans="1:10" s="78" customFormat="1" ht="39.75" customHeight="1" x14ac:dyDescent="0.25">
      <c r="A87" s="317"/>
      <c r="B87" s="317"/>
      <c r="C87" s="101"/>
      <c r="D87" s="319" t="s">
        <v>248</v>
      </c>
      <c r="E87" s="319"/>
      <c r="F87" s="319"/>
      <c r="G87" s="319"/>
      <c r="H87" s="319"/>
      <c r="I87" s="319"/>
      <c r="J87" s="319"/>
    </row>
    <row r="88" spans="1:10" ht="32.25" customHeight="1" x14ac:dyDescent="0.25">
      <c r="A88" s="317"/>
      <c r="B88" s="317"/>
      <c r="C88" s="101"/>
      <c r="D88" s="319" t="s">
        <v>249</v>
      </c>
      <c r="E88" s="319"/>
      <c r="F88" s="319"/>
      <c r="G88" s="319"/>
      <c r="H88" s="319"/>
      <c r="I88" s="319"/>
      <c r="J88" s="319"/>
    </row>
    <row r="89" spans="1:10" x14ac:dyDescent="0.25">
      <c r="A89" s="317"/>
      <c r="B89" s="317"/>
      <c r="C89" s="101"/>
      <c r="D89" s="320" t="s">
        <v>250</v>
      </c>
      <c r="E89" s="320"/>
      <c r="F89" s="320"/>
      <c r="G89" s="320"/>
      <c r="H89" s="320"/>
      <c r="I89" s="320"/>
      <c r="J89" s="320"/>
    </row>
    <row r="90" spans="1:10" x14ac:dyDescent="0.25">
      <c r="A90" s="317"/>
      <c r="B90" s="317"/>
      <c r="C90" s="312" t="s">
        <v>251</v>
      </c>
      <c r="D90" s="312"/>
      <c r="E90" s="354"/>
      <c r="F90" s="354"/>
      <c r="G90" s="354"/>
      <c r="H90" s="354"/>
      <c r="I90" s="354"/>
      <c r="J90" s="354"/>
    </row>
    <row r="91" spans="1:10" ht="28.5" customHeight="1" x14ac:dyDescent="0.25">
      <c r="A91" s="317" t="s">
        <v>257</v>
      </c>
      <c r="B91" s="317"/>
      <c r="C91" s="101"/>
      <c r="D91" s="319" t="s">
        <v>253</v>
      </c>
      <c r="E91" s="319"/>
      <c r="F91" s="319"/>
      <c r="G91" s="319"/>
      <c r="H91" s="319"/>
      <c r="I91" s="319"/>
      <c r="J91" s="319"/>
    </row>
    <row r="92" spans="1:10" x14ac:dyDescent="0.25">
      <c r="A92" s="317"/>
      <c r="B92" s="317"/>
      <c r="C92" s="101"/>
      <c r="D92" s="319" t="s">
        <v>254</v>
      </c>
      <c r="E92" s="319"/>
      <c r="F92" s="319"/>
      <c r="G92" s="319"/>
      <c r="H92" s="319"/>
      <c r="I92" s="319"/>
      <c r="J92" s="319"/>
    </row>
    <row r="93" spans="1:10" ht="27.75" customHeight="1" x14ac:dyDescent="0.25">
      <c r="A93" s="317"/>
      <c r="B93" s="317"/>
      <c r="C93" s="101"/>
      <c r="D93" s="319" t="s">
        <v>255</v>
      </c>
      <c r="E93" s="319"/>
      <c r="F93" s="319"/>
      <c r="G93" s="319"/>
      <c r="H93" s="319"/>
      <c r="I93" s="319"/>
      <c r="J93" s="319"/>
    </row>
    <row r="94" spans="1:10" ht="28.5" customHeight="1" x14ac:dyDescent="0.25">
      <c r="A94" s="317"/>
      <c r="B94" s="317"/>
      <c r="C94" s="101"/>
      <c r="D94" s="319" t="s">
        <v>256</v>
      </c>
      <c r="E94" s="319"/>
      <c r="F94" s="319"/>
      <c r="G94" s="319"/>
      <c r="H94" s="319"/>
      <c r="I94" s="319"/>
      <c r="J94" s="319"/>
    </row>
    <row r="95" spans="1:10" x14ac:dyDescent="0.25">
      <c r="A95" s="317"/>
      <c r="B95" s="317"/>
      <c r="C95" s="312" t="s">
        <v>251</v>
      </c>
      <c r="D95" s="312"/>
      <c r="E95" s="354"/>
      <c r="F95" s="354"/>
      <c r="G95" s="354"/>
      <c r="H95" s="354"/>
      <c r="I95" s="354"/>
      <c r="J95" s="354"/>
    </row>
    <row r="96" spans="1:10" x14ac:dyDescent="0.25">
      <c r="A96" s="317" t="s">
        <v>258</v>
      </c>
      <c r="B96" s="317"/>
      <c r="C96" s="101"/>
      <c r="D96" s="318" t="s">
        <v>259</v>
      </c>
      <c r="E96" s="318"/>
      <c r="F96" s="318"/>
      <c r="G96" s="318"/>
      <c r="H96" s="318"/>
      <c r="I96" s="318"/>
      <c r="J96" s="318"/>
    </row>
    <row r="97" spans="1:10" ht="27.75" customHeight="1" x14ac:dyDescent="0.25">
      <c r="A97" s="317"/>
      <c r="B97" s="317"/>
      <c r="C97" s="101"/>
      <c r="D97" s="319" t="s">
        <v>260</v>
      </c>
      <c r="E97" s="319"/>
      <c r="F97" s="319"/>
      <c r="G97" s="319"/>
      <c r="H97" s="319"/>
      <c r="I97" s="319"/>
      <c r="J97" s="319"/>
    </row>
    <row r="98" spans="1:10" ht="15.75" customHeight="1" x14ac:dyDescent="0.25">
      <c r="A98" s="317"/>
      <c r="B98" s="317"/>
      <c r="C98" s="101"/>
      <c r="D98" s="319" t="s">
        <v>261</v>
      </c>
      <c r="E98" s="319"/>
      <c r="F98" s="319"/>
      <c r="G98" s="319"/>
      <c r="H98" s="319"/>
      <c r="I98" s="319"/>
      <c r="J98" s="319"/>
    </row>
    <row r="99" spans="1:10" ht="24" customHeight="1" x14ac:dyDescent="0.25">
      <c r="A99" s="317"/>
      <c r="B99" s="317"/>
      <c r="C99" s="101"/>
      <c r="D99" s="319" t="s">
        <v>262</v>
      </c>
      <c r="E99" s="319"/>
      <c r="F99" s="319"/>
      <c r="G99" s="319"/>
      <c r="H99" s="319"/>
      <c r="I99" s="319"/>
      <c r="J99" s="319"/>
    </row>
    <row r="100" spans="1:10" ht="35.25" customHeight="1" x14ac:dyDescent="0.25">
      <c r="A100" s="317"/>
      <c r="B100" s="317"/>
      <c r="C100" s="101"/>
      <c r="D100" s="319" t="s">
        <v>263</v>
      </c>
      <c r="E100" s="319"/>
      <c r="F100" s="319"/>
      <c r="G100" s="319"/>
      <c r="H100" s="319"/>
      <c r="I100" s="319"/>
      <c r="J100" s="319"/>
    </row>
    <row r="101" spans="1:10" x14ac:dyDescent="0.25">
      <c r="A101" s="317"/>
      <c r="B101" s="317"/>
      <c r="C101" s="312" t="s">
        <v>251</v>
      </c>
      <c r="D101" s="312"/>
      <c r="E101" s="354"/>
      <c r="F101" s="354"/>
      <c r="G101" s="354"/>
      <c r="H101" s="354"/>
      <c r="I101" s="354"/>
      <c r="J101" s="354"/>
    </row>
    <row r="104" spans="1:10" x14ac:dyDescent="0.25">
      <c r="A104" s="98"/>
      <c r="B104" s="310" t="s">
        <v>264</v>
      </c>
      <c r="C104" s="310"/>
      <c r="D104" s="310"/>
      <c r="E104" s="310"/>
      <c r="F104" s="310"/>
      <c r="G104" s="310"/>
      <c r="H104" s="310"/>
      <c r="I104" s="310"/>
      <c r="J104" s="310"/>
    </row>
    <row r="105" spans="1:10" x14ac:dyDescent="0.25">
      <c r="B105" s="97"/>
      <c r="C105" s="97"/>
      <c r="D105" s="97"/>
      <c r="E105" s="97"/>
      <c r="F105" s="97"/>
      <c r="G105" s="97"/>
      <c r="H105" s="97"/>
      <c r="I105" s="97"/>
      <c r="J105" s="97"/>
    </row>
    <row r="106" spans="1:10" x14ac:dyDescent="0.25">
      <c r="A106" s="98"/>
      <c r="B106" s="311" t="s">
        <v>265</v>
      </c>
      <c r="C106" s="310"/>
      <c r="D106" s="310"/>
      <c r="E106" s="310"/>
      <c r="F106" s="310"/>
      <c r="G106" s="310"/>
      <c r="H106" s="310"/>
      <c r="I106" s="310"/>
      <c r="J106" s="310"/>
    </row>
    <row r="108" spans="1:10" x14ac:dyDescent="0.25">
      <c r="A108" s="187" t="s">
        <v>266</v>
      </c>
      <c r="B108" s="187"/>
      <c r="C108" s="187"/>
      <c r="D108" s="268"/>
      <c r="E108" s="268"/>
      <c r="F108" s="268"/>
      <c r="H108" t="s">
        <v>267</v>
      </c>
      <c r="I108" s="269"/>
      <c r="J108" s="269"/>
    </row>
    <row r="110" spans="1:10" x14ac:dyDescent="0.25">
      <c r="A110" s="187" t="s">
        <v>268</v>
      </c>
      <c r="B110" s="187"/>
      <c r="C110" s="187"/>
      <c r="D110" s="268"/>
      <c r="E110" s="268"/>
      <c r="F110" s="268"/>
      <c r="H110" t="s">
        <v>267</v>
      </c>
      <c r="I110" s="269"/>
      <c r="J110" s="269"/>
    </row>
    <row r="115" spans="1:10" ht="40.5" customHeight="1" x14ac:dyDescent="0.25">
      <c r="A115" s="208" t="s">
        <v>293</v>
      </c>
      <c r="B115" s="209"/>
      <c r="C115" s="209"/>
      <c r="D115" s="209"/>
      <c r="E115" s="209"/>
      <c r="F115" s="209"/>
      <c r="G115" s="209"/>
      <c r="H115" s="209"/>
      <c r="I115" s="209"/>
      <c r="J115" s="209"/>
    </row>
    <row r="117" spans="1:10" x14ac:dyDescent="0.25">
      <c r="A117" s="293" t="s">
        <v>269</v>
      </c>
      <c r="B117" s="293"/>
      <c r="C117" s="293"/>
      <c r="D117" s="293"/>
      <c r="E117" s="81"/>
      <c r="F117" s="285">
        <f>C5</f>
        <v>0</v>
      </c>
      <c r="G117" s="285"/>
      <c r="H117" s="285"/>
      <c r="I117" s="285"/>
      <c r="J117" s="286"/>
    </row>
    <row r="118" spans="1:10" x14ac:dyDescent="0.25">
      <c r="A118" s="293" t="s">
        <v>270</v>
      </c>
      <c r="B118" s="293"/>
      <c r="C118" s="293"/>
      <c r="D118" s="293"/>
      <c r="E118" s="81"/>
      <c r="F118" s="285">
        <f>C3</f>
        <v>0</v>
      </c>
      <c r="G118" s="285"/>
      <c r="H118" s="285"/>
      <c r="I118" s="285"/>
      <c r="J118" s="286"/>
    </row>
    <row r="119" spans="1:10" x14ac:dyDescent="0.25">
      <c r="A119" s="293" t="s">
        <v>271</v>
      </c>
      <c r="B119" s="293"/>
      <c r="C119" s="293"/>
      <c r="D119" s="293"/>
      <c r="E119" s="81"/>
      <c r="F119" s="285">
        <f>F3</f>
        <v>0</v>
      </c>
      <c r="G119" s="285"/>
      <c r="H119" s="285"/>
      <c r="I119" s="285"/>
      <c r="J119" s="286"/>
    </row>
    <row r="120" spans="1:10" ht="48" customHeight="1" x14ac:dyDescent="0.25">
      <c r="A120" s="291" t="s">
        <v>272</v>
      </c>
      <c r="B120" s="291"/>
      <c r="C120" s="291"/>
      <c r="D120" s="291"/>
      <c r="E120" s="81"/>
      <c r="F120" s="352"/>
      <c r="G120" s="352"/>
      <c r="H120" s="82" t="s">
        <v>278</v>
      </c>
      <c r="I120" s="352"/>
      <c r="J120" s="353"/>
    </row>
    <row r="121" spans="1:10" ht="31.5" customHeight="1" x14ac:dyDescent="0.25">
      <c r="A121" s="291" t="s">
        <v>273</v>
      </c>
      <c r="B121" s="291"/>
      <c r="C121" s="291"/>
      <c r="D121" s="291"/>
      <c r="E121" s="81"/>
      <c r="F121" s="287"/>
      <c r="G121" s="287"/>
      <c r="H121" s="287"/>
      <c r="I121" s="287"/>
      <c r="J121" s="288"/>
    </row>
    <row r="122" spans="1:10" x14ac:dyDescent="0.25">
      <c r="A122" s="296" t="s">
        <v>274</v>
      </c>
      <c r="B122" s="297"/>
      <c r="C122" s="297"/>
      <c r="D122" s="298"/>
      <c r="E122" s="302" t="s">
        <v>279</v>
      </c>
      <c r="F122" s="303"/>
      <c r="G122" s="303"/>
      <c r="H122" s="303"/>
      <c r="I122" s="303"/>
      <c r="J122" s="304"/>
    </row>
    <row r="123" spans="1:10" x14ac:dyDescent="0.25">
      <c r="A123" s="299"/>
      <c r="B123" s="300"/>
      <c r="C123" s="300"/>
      <c r="D123" s="301"/>
      <c r="E123" s="101"/>
      <c r="F123" s="302" t="s">
        <v>280</v>
      </c>
      <c r="G123" s="303"/>
      <c r="H123" s="303"/>
      <c r="I123" s="303"/>
      <c r="J123" s="304"/>
    </row>
    <row r="124" spans="1:10" x14ac:dyDescent="0.25">
      <c r="A124" s="299"/>
      <c r="B124" s="300"/>
      <c r="C124" s="300"/>
      <c r="D124" s="301"/>
      <c r="E124" s="101"/>
      <c r="F124" s="302" t="s">
        <v>281</v>
      </c>
      <c r="G124" s="303"/>
      <c r="H124" s="303"/>
      <c r="I124" s="303"/>
      <c r="J124" s="304"/>
    </row>
    <row r="125" spans="1:10" x14ac:dyDescent="0.25">
      <c r="A125" s="299"/>
      <c r="B125" s="300"/>
      <c r="C125" s="300"/>
      <c r="D125" s="301"/>
      <c r="E125" s="101"/>
      <c r="F125" s="302" t="s">
        <v>282</v>
      </c>
      <c r="G125" s="303"/>
      <c r="H125" s="303"/>
      <c r="I125" s="303"/>
      <c r="J125" s="304"/>
    </row>
    <row r="126" spans="1:10" ht="45.75" customHeight="1" x14ac:dyDescent="0.25">
      <c r="A126" s="299"/>
      <c r="B126" s="300"/>
      <c r="C126" s="300"/>
      <c r="D126" s="301"/>
      <c r="E126" s="83" t="s">
        <v>283</v>
      </c>
      <c r="F126" s="348"/>
      <c r="G126" s="348"/>
      <c r="H126" s="348"/>
      <c r="I126" s="348"/>
      <c r="J126" s="349"/>
    </row>
    <row r="127" spans="1:10" x14ac:dyDescent="0.25">
      <c r="A127" s="296" t="s">
        <v>275</v>
      </c>
      <c r="B127" s="297"/>
      <c r="C127" s="297"/>
      <c r="D127" s="298"/>
      <c r="E127" s="101"/>
      <c r="F127" s="289" t="s">
        <v>285</v>
      </c>
      <c r="G127" s="289"/>
      <c r="H127" s="289"/>
      <c r="I127" s="289"/>
      <c r="J127" s="290"/>
    </row>
    <row r="128" spans="1:10" ht="48" customHeight="1" x14ac:dyDescent="0.25">
      <c r="A128" s="299"/>
      <c r="B128" s="300"/>
      <c r="C128" s="300"/>
      <c r="D128" s="301"/>
      <c r="E128" s="101"/>
      <c r="F128" s="308" t="s">
        <v>286</v>
      </c>
      <c r="G128" s="308"/>
      <c r="H128" s="308"/>
      <c r="I128" s="308"/>
      <c r="J128" s="309"/>
    </row>
    <row r="129" spans="1:10" ht="45.75" customHeight="1" x14ac:dyDescent="0.25">
      <c r="A129" s="305"/>
      <c r="B129" s="306"/>
      <c r="C129" s="306"/>
      <c r="D129" s="307"/>
      <c r="E129" s="83" t="s">
        <v>283</v>
      </c>
      <c r="F129" s="348"/>
      <c r="G129" s="348"/>
      <c r="H129" s="348"/>
      <c r="I129" s="348"/>
      <c r="J129" s="349"/>
    </row>
    <row r="130" spans="1:10" ht="47.25" customHeight="1" x14ac:dyDescent="0.25">
      <c r="A130" s="275" t="s">
        <v>276</v>
      </c>
      <c r="B130" s="276"/>
      <c r="C130" s="276"/>
      <c r="D130" s="277"/>
      <c r="E130" s="81"/>
      <c r="F130" s="348"/>
      <c r="G130" s="348"/>
      <c r="H130" s="348"/>
      <c r="I130" s="348"/>
      <c r="J130" s="349"/>
    </row>
    <row r="131" spans="1:10" ht="25.5" customHeight="1" x14ac:dyDescent="0.25">
      <c r="A131" s="296" t="s">
        <v>284</v>
      </c>
      <c r="B131" s="297"/>
      <c r="C131" s="297"/>
      <c r="D131" s="298"/>
      <c r="E131" s="280" t="s">
        <v>287</v>
      </c>
      <c r="F131" s="281"/>
      <c r="G131" s="281"/>
      <c r="H131" s="281"/>
      <c r="I131" s="281"/>
      <c r="J131" s="282"/>
    </row>
    <row r="132" spans="1:10" x14ac:dyDescent="0.25">
      <c r="A132" s="299"/>
      <c r="B132" s="300"/>
      <c r="C132" s="300"/>
      <c r="D132" s="301"/>
      <c r="E132" s="101"/>
      <c r="F132" s="278" t="s">
        <v>288</v>
      </c>
      <c r="G132" s="278"/>
      <c r="H132" s="278"/>
      <c r="I132" s="278"/>
      <c r="J132" s="279"/>
    </row>
    <row r="133" spans="1:10" x14ac:dyDescent="0.25">
      <c r="A133" s="299"/>
      <c r="B133" s="300"/>
      <c r="C133" s="300"/>
      <c r="D133" s="301"/>
      <c r="E133" s="101"/>
      <c r="F133" s="278" t="s">
        <v>289</v>
      </c>
      <c r="G133" s="278"/>
      <c r="H133" s="278"/>
      <c r="I133" s="278"/>
      <c r="J133" s="279"/>
    </row>
    <row r="134" spans="1:10" x14ac:dyDescent="0.25">
      <c r="A134" s="299"/>
      <c r="B134" s="300"/>
      <c r="C134" s="300"/>
      <c r="D134" s="301"/>
      <c r="E134" s="101"/>
      <c r="F134" s="278" t="s">
        <v>290</v>
      </c>
      <c r="G134" s="278"/>
      <c r="H134" s="278"/>
      <c r="I134" s="278"/>
      <c r="J134" s="279"/>
    </row>
    <row r="135" spans="1:10" x14ac:dyDescent="0.25">
      <c r="A135" s="299"/>
      <c r="B135" s="300"/>
      <c r="C135" s="300"/>
      <c r="D135" s="301"/>
      <c r="E135" s="101"/>
      <c r="F135" s="278" t="s">
        <v>291</v>
      </c>
      <c r="G135" s="278"/>
      <c r="H135" s="278"/>
      <c r="I135" s="278"/>
      <c r="J135" s="279"/>
    </row>
    <row r="136" spans="1:10" ht="45.75" customHeight="1" x14ac:dyDescent="0.25">
      <c r="A136" s="305"/>
      <c r="B136" s="306"/>
      <c r="C136" s="306"/>
      <c r="D136" s="307"/>
      <c r="E136" s="83" t="s">
        <v>283</v>
      </c>
      <c r="F136" s="348"/>
      <c r="G136" s="348"/>
      <c r="H136" s="348"/>
      <c r="I136" s="348"/>
      <c r="J136" s="349"/>
    </row>
    <row r="137" spans="1:10" ht="45.75" customHeight="1" x14ac:dyDescent="0.25">
      <c r="A137" s="291" t="s">
        <v>277</v>
      </c>
      <c r="B137" s="291"/>
      <c r="C137" s="291"/>
      <c r="D137" s="291"/>
      <c r="E137" s="81"/>
      <c r="F137" s="287" t="s">
        <v>292</v>
      </c>
      <c r="G137" s="287"/>
      <c r="H137" s="287"/>
      <c r="I137" s="287"/>
      <c r="J137" s="288"/>
    </row>
    <row r="143" spans="1:10" ht="42" customHeight="1" x14ac:dyDescent="0.25">
      <c r="A143" s="208" t="s">
        <v>294</v>
      </c>
      <c r="B143" s="209"/>
      <c r="C143" s="209"/>
      <c r="D143" s="209"/>
      <c r="E143" s="209"/>
      <c r="F143" s="209"/>
      <c r="G143" s="209"/>
      <c r="H143" s="209"/>
      <c r="I143" s="209"/>
      <c r="J143" s="209"/>
    </row>
    <row r="145" spans="1:10" x14ac:dyDescent="0.25">
      <c r="A145" s="210" t="s">
        <v>203</v>
      </c>
      <c r="B145" s="210"/>
      <c r="C145" s="321" t="str">
        <f>C3&amp;"/"&amp;F3</f>
        <v>/</v>
      </c>
      <c r="D145" s="321"/>
      <c r="E145" s="321"/>
      <c r="F145" s="321"/>
      <c r="G145" s="212" t="s">
        <v>295</v>
      </c>
      <c r="H145" s="212"/>
      <c r="I145" s="212"/>
      <c r="J145" s="102">
        <f>'SGO #1(Tiered or Simple)'!D20</f>
        <v>0</v>
      </c>
    </row>
    <row r="146" spans="1:10" x14ac:dyDescent="0.25">
      <c r="A146" s="210" t="s">
        <v>204</v>
      </c>
      <c r="B146" s="210"/>
      <c r="C146" s="284">
        <f>C5</f>
        <v>0</v>
      </c>
      <c r="D146" s="284"/>
      <c r="E146" s="284"/>
      <c r="F146" s="284"/>
      <c r="G146" s="84"/>
      <c r="H146" s="77"/>
      <c r="I146" s="77"/>
    </row>
    <row r="147" spans="1:10" x14ac:dyDescent="0.25">
      <c r="A147" s="210" t="s">
        <v>205</v>
      </c>
      <c r="B147" s="210"/>
      <c r="C147" s="284">
        <f>C7</f>
        <v>0</v>
      </c>
      <c r="D147" s="284"/>
      <c r="E147" s="284"/>
      <c r="F147" s="284"/>
      <c r="G147" s="84"/>
      <c r="H147" s="77"/>
      <c r="I147" s="77"/>
    </row>
    <row r="148" spans="1:10" x14ac:dyDescent="0.25">
      <c r="G148" s="77"/>
      <c r="H148" s="77"/>
      <c r="I148" s="77"/>
    </row>
    <row r="149" spans="1:10" ht="27.75" customHeight="1" x14ac:dyDescent="0.25">
      <c r="A149" s="283" t="s">
        <v>296</v>
      </c>
      <c r="B149" s="283"/>
      <c r="C149" s="283"/>
      <c r="D149" s="283" t="s">
        <v>297</v>
      </c>
      <c r="E149" s="283"/>
      <c r="F149" s="283"/>
      <c r="G149" s="283" t="s">
        <v>298</v>
      </c>
      <c r="H149" s="283"/>
      <c r="I149" s="283"/>
      <c r="J149" s="283"/>
    </row>
    <row r="150" spans="1:10" ht="80.25" customHeight="1" x14ac:dyDescent="0.25">
      <c r="A150" s="270" t="s">
        <v>299</v>
      </c>
      <c r="B150" s="271"/>
      <c r="C150" s="271"/>
      <c r="D150" s="272" t="str">
        <f>IF('SGO #1(Tiered or Simple)'!D17=0,"",'SGO #1(Tiered or Simple)'!E17)</f>
        <v/>
      </c>
      <c r="E150" s="273"/>
      <c r="F150" s="273"/>
      <c r="G150" s="274"/>
      <c r="H150" s="274"/>
      <c r="I150" s="274"/>
      <c r="J150" s="274"/>
    </row>
    <row r="151" spans="1:10" ht="80.25" customHeight="1" x14ac:dyDescent="0.25">
      <c r="A151" s="270" t="s">
        <v>300</v>
      </c>
      <c r="B151" s="271"/>
      <c r="C151" s="271"/>
      <c r="D151" s="272" t="str">
        <f>IF('SGO #1(Tiered or Simple)'!D14=0,"",'SGO #1(Tiered or Simple)'!E14)</f>
        <v/>
      </c>
      <c r="E151" s="273"/>
      <c r="F151" s="273"/>
      <c r="G151" s="274"/>
      <c r="H151" s="274"/>
      <c r="I151" s="274"/>
      <c r="J151" s="274"/>
    </row>
    <row r="152" spans="1:10" ht="80.25" customHeight="1" x14ac:dyDescent="0.25">
      <c r="A152" s="270" t="s">
        <v>343</v>
      </c>
      <c r="B152" s="271"/>
      <c r="C152" s="271"/>
      <c r="D152" s="272" t="str">
        <f>IF('SGO #1(Tiered or Simple)'!D11=0,"",'SGO #1(Tiered or Simple)'!E11)</f>
        <v/>
      </c>
      <c r="E152" s="273"/>
      <c r="F152" s="273"/>
      <c r="G152" s="274"/>
      <c r="H152" s="274"/>
      <c r="I152" s="274"/>
      <c r="J152" s="274"/>
    </row>
    <row r="154" spans="1:10" x14ac:dyDescent="0.25">
      <c r="A154" s="210" t="s">
        <v>301</v>
      </c>
      <c r="B154" s="210"/>
      <c r="C154" s="210"/>
      <c r="D154" s="210"/>
      <c r="E154" s="210"/>
      <c r="F154" s="210"/>
      <c r="G154" s="210"/>
      <c r="H154" s="210"/>
      <c r="I154" s="210"/>
      <c r="J154" s="210"/>
    </row>
    <row r="155" spans="1:10" x14ac:dyDescent="0.25">
      <c r="A155" s="210" t="s">
        <v>302</v>
      </c>
      <c r="B155" s="210"/>
      <c r="C155" s="210"/>
      <c r="D155" s="210"/>
      <c r="E155" s="210"/>
      <c r="F155" s="210"/>
      <c r="G155" s="210"/>
      <c r="H155" s="210"/>
      <c r="I155" s="210"/>
      <c r="J155" s="210"/>
    </row>
    <row r="156" spans="1:10" ht="48.75" customHeight="1" x14ac:dyDescent="0.25">
      <c r="A156" s="265" t="s">
        <v>303</v>
      </c>
      <c r="B156" s="266"/>
      <c r="C156" s="266"/>
      <c r="D156" s="266"/>
      <c r="E156" s="266"/>
      <c r="F156" s="266"/>
      <c r="G156" s="266"/>
      <c r="H156" s="266"/>
      <c r="I156" s="266"/>
      <c r="J156" s="266"/>
    </row>
    <row r="158" spans="1:10" x14ac:dyDescent="0.25">
      <c r="A158" s="264" t="s">
        <v>304</v>
      </c>
      <c r="B158" s="264"/>
      <c r="C158" s="264"/>
      <c r="D158" s="264"/>
      <c r="E158" s="264"/>
      <c r="F158" s="264"/>
      <c r="G158" s="264"/>
      <c r="H158" s="264"/>
      <c r="I158" s="264"/>
      <c r="J158" s="264"/>
    </row>
    <row r="159" spans="1:10" ht="53.25" customHeight="1" x14ac:dyDescent="0.25">
      <c r="A159" s="265" t="s">
        <v>305</v>
      </c>
      <c r="B159" s="266"/>
      <c r="C159" s="266"/>
      <c r="D159" s="266"/>
      <c r="E159" s="266"/>
      <c r="F159" s="266"/>
      <c r="G159" s="266"/>
      <c r="H159" s="266"/>
      <c r="I159" s="266"/>
      <c r="J159" s="266"/>
    </row>
    <row r="161" spans="1:10" x14ac:dyDescent="0.25">
      <c r="A161" s="101"/>
      <c r="B161" s="267" t="s">
        <v>306</v>
      </c>
      <c r="C161" s="266"/>
      <c r="D161" s="266"/>
      <c r="E161" s="266"/>
      <c r="F161" s="266"/>
      <c r="G161" s="266"/>
      <c r="H161" s="266"/>
      <c r="I161" s="266"/>
      <c r="J161" s="266"/>
    </row>
    <row r="163" spans="1:10" x14ac:dyDescent="0.25">
      <c r="A163" s="187" t="s">
        <v>266</v>
      </c>
      <c r="B163" s="187"/>
      <c r="C163" s="187"/>
      <c r="D163" s="268"/>
      <c r="E163" s="268"/>
      <c r="F163" s="268"/>
      <c r="H163" t="s">
        <v>267</v>
      </c>
      <c r="I163" s="269"/>
      <c r="J163" s="269"/>
    </row>
    <row r="165" spans="1:10" x14ac:dyDescent="0.25">
      <c r="A165" s="187" t="s">
        <v>268</v>
      </c>
      <c r="B165" s="187"/>
      <c r="C165" s="187"/>
      <c r="D165" s="268"/>
      <c r="E165" s="268"/>
      <c r="F165" s="268"/>
      <c r="H165" t="s">
        <v>267</v>
      </c>
      <c r="I165" s="269"/>
      <c r="J165" s="269"/>
    </row>
    <row r="169" spans="1:10" ht="42" customHeight="1" x14ac:dyDescent="0.25">
      <c r="A169" s="208" t="s">
        <v>359</v>
      </c>
      <c r="B169" s="209"/>
      <c r="C169" s="209"/>
      <c r="D169" s="209"/>
      <c r="E169" s="209"/>
      <c r="F169" s="209"/>
      <c r="G169" s="209"/>
      <c r="H169" s="209"/>
      <c r="I169" s="209"/>
      <c r="J169" s="209"/>
    </row>
    <row r="170" spans="1:10" ht="8.25" customHeight="1" x14ac:dyDescent="0.25"/>
    <row r="171" spans="1:10" x14ac:dyDescent="0.25">
      <c r="A171" s="233" t="s">
        <v>308</v>
      </c>
      <c r="B171" s="233"/>
      <c r="C171" s="233" t="s">
        <v>270</v>
      </c>
      <c r="D171" s="233"/>
      <c r="E171" s="233" t="s">
        <v>309</v>
      </c>
      <c r="F171" s="233"/>
      <c r="G171" s="233"/>
      <c r="H171" s="233" t="s">
        <v>310</v>
      </c>
      <c r="I171" s="233"/>
      <c r="J171" s="233"/>
    </row>
    <row r="172" spans="1:10" x14ac:dyDescent="0.25">
      <c r="A172" s="344">
        <f>C3</f>
        <v>0</v>
      </c>
      <c r="B172" s="344"/>
      <c r="C172" s="344">
        <f>F3</f>
        <v>0</v>
      </c>
      <c r="D172" s="344"/>
      <c r="E172" s="220">
        <f>J145</f>
        <v>0</v>
      </c>
      <c r="F172" s="220"/>
      <c r="G172" s="220"/>
      <c r="H172" s="88" t="s">
        <v>311</v>
      </c>
      <c r="I172" s="101"/>
      <c r="J172" s="88"/>
    </row>
    <row r="173" spans="1:10" x14ac:dyDescent="0.25">
      <c r="A173" s="344"/>
      <c r="B173" s="344"/>
      <c r="C173" s="344"/>
      <c r="D173" s="344"/>
      <c r="E173" s="220"/>
      <c r="F173" s="220"/>
      <c r="G173" s="220"/>
      <c r="H173" s="88" t="s">
        <v>312</v>
      </c>
      <c r="I173" s="101"/>
      <c r="J173" s="88"/>
    </row>
    <row r="174" spans="1:10" x14ac:dyDescent="0.25">
      <c r="A174" s="344"/>
      <c r="B174" s="344"/>
      <c r="C174" s="344"/>
      <c r="D174" s="344"/>
      <c r="E174" s="220"/>
      <c r="F174" s="220"/>
      <c r="G174" s="220"/>
      <c r="H174" s="88" t="s">
        <v>283</v>
      </c>
      <c r="I174" s="330"/>
      <c r="J174" s="330"/>
    </row>
    <row r="175" spans="1:10" x14ac:dyDescent="0.25">
      <c r="A175" s="234" t="s">
        <v>313</v>
      </c>
      <c r="B175" s="234"/>
      <c r="C175" s="217"/>
      <c r="D175" s="217"/>
      <c r="E175" s="217"/>
      <c r="F175" s="217"/>
      <c r="G175" s="217"/>
      <c r="H175" s="234" t="s">
        <v>315</v>
      </c>
      <c r="I175" s="79" t="s">
        <v>316</v>
      </c>
      <c r="J175" s="101"/>
    </row>
    <row r="176" spans="1:10" x14ac:dyDescent="0.25">
      <c r="A176" s="234"/>
      <c r="B176" s="234"/>
      <c r="C176" s="217"/>
      <c r="D176" s="217"/>
      <c r="E176" s="217"/>
      <c r="F176" s="217"/>
      <c r="G176" s="217"/>
      <c r="H176" s="234"/>
      <c r="I176" s="79" t="s">
        <v>317</v>
      </c>
      <c r="J176" s="101"/>
    </row>
    <row r="177" spans="1:10" ht="24" customHeight="1" x14ac:dyDescent="0.25">
      <c r="A177" s="355" t="s">
        <v>314</v>
      </c>
      <c r="B177" s="356"/>
      <c r="C177" s="356"/>
      <c r="D177" s="356"/>
      <c r="E177" s="356"/>
      <c r="F177" s="356"/>
      <c r="G177" s="356"/>
      <c r="H177" s="356"/>
      <c r="I177" s="356"/>
      <c r="J177" s="356"/>
    </row>
    <row r="178" spans="1:10" ht="108.75" customHeight="1" x14ac:dyDescent="0.25">
      <c r="A178" s="246"/>
      <c r="B178" s="246"/>
      <c r="C178" s="246"/>
      <c r="D178" s="246"/>
      <c r="E178" s="246"/>
      <c r="F178" s="246"/>
      <c r="G178" s="246"/>
      <c r="H178" s="246"/>
      <c r="I178" s="246"/>
      <c r="J178" s="246"/>
    </row>
    <row r="179" spans="1:10" x14ac:dyDescent="0.25">
      <c r="A179" s="335" t="s">
        <v>200</v>
      </c>
      <c r="B179" s="336"/>
      <c r="C179" s="336"/>
      <c r="D179" s="336"/>
      <c r="E179" s="336"/>
      <c r="F179" s="336"/>
      <c r="G179" s="336"/>
      <c r="H179" s="336"/>
      <c r="I179" s="336"/>
      <c r="J179" s="336"/>
    </row>
    <row r="180" spans="1:10" ht="39" customHeight="1" x14ac:dyDescent="0.25">
      <c r="A180" s="339" t="s">
        <v>347</v>
      </c>
      <c r="B180" s="340"/>
      <c r="C180" s="339" t="s">
        <v>348</v>
      </c>
      <c r="D180" s="339"/>
      <c r="E180" s="339" t="s">
        <v>350</v>
      </c>
      <c r="F180" s="339"/>
      <c r="G180" s="339"/>
      <c r="H180" s="339" t="s">
        <v>349</v>
      </c>
      <c r="I180" s="339"/>
      <c r="J180" s="339"/>
    </row>
    <row r="181" spans="1:10" x14ac:dyDescent="0.25">
      <c r="A181" s="341" t="s">
        <v>30</v>
      </c>
      <c r="B181" s="342"/>
      <c r="C181" s="341">
        <f>'SGO #1(Tiered or Simple)'!D11</f>
        <v>0</v>
      </c>
      <c r="D181" s="341"/>
      <c r="E181" s="341" t="str">
        <f>IF('SGO #1(Tiered or Simple)'!D11=0,"",IF('SGO #1(Tiered or Simple)'!T37=0,'SGO #1(Tiered or Simple)'!S37,'SGO #1(Tiered or Simple)'!U37))</f>
        <v/>
      </c>
      <c r="F181" s="341"/>
      <c r="G181" s="341"/>
      <c r="H181" s="342" t="str">
        <f>IF('SGO #1(Tiered or Simple)'!D11=0,"",'SGO #1(Tiered or Simple)'!I12)</f>
        <v/>
      </c>
      <c r="I181" s="342"/>
      <c r="J181" s="342"/>
    </row>
    <row r="182" spans="1:10" x14ac:dyDescent="0.25">
      <c r="A182" s="341" t="s">
        <v>192</v>
      </c>
      <c r="B182" s="342"/>
      <c r="C182" s="341">
        <f>'SGO #1(Tiered or Simple)'!D14</f>
        <v>0</v>
      </c>
      <c r="D182" s="341"/>
      <c r="E182" s="341" t="str">
        <f>IF('SGO #1(Tiered or Simple)'!D14=0,"",IF('SGO #1(Tiered or Simple)'!T38=0,'SGO #1(Tiered or Simple)'!S38,'SGO #1(Tiered or Simple)'!U38))</f>
        <v/>
      </c>
      <c r="F182" s="341"/>
      <c r="G182" s="341"/>
      <c r="H182" s="342" t="str">
        <f>IF('SGO #1(Tiered or Simple)'!D14=0,"",'SGO #1(Tiered or Simple)'!I15)</f>
        <v/>
      </c>
      <c r="I182" s="342"/>
      <c r="J182" s="342"/>
    </row>
    <row r="183" spans="1:10" x14ac:dyDescent="0.25">
      <c r="A183" s="341" t="s">
        <v>28</v>
      </c>
      <c r="B183" s="342"/>
      <c r="C183" s="341">
        <f>'SGO #1(Tiered or Simple)'!D17</f>
        <v>0</v>
      </c>
      <c r="D183" s="341"/>
      <c r="E183" s="341" t="str">
        <f>IF('SGO #1(Tiered or Simple)'!D17=0,"",IF('SGO #1(Tiered or Simple)'!T39=0,'SGO #1(Tiered or Simple)'!S39,'SGO #1(Tiered or Simple)'!U39))</f>
        <v/>
      </c>
      <c r="F183" s="341"/>
      <c r="G183" s="341"/>
      <c r="H183" s="342" t="str">
        <f>IF('SGO #1(Tiered or Simple)'!D17=0,"",'SGO #1(Tiered or Simple)'!I18)</f>
        <v/>
      </c>
      <c r="I183" s="342"/>
      <c r="J183" s="342"/>
    </row>
    <row r="184" spans="1:10" ht="35.25" customHeight="1" x14ac:dyDescent="0.25">
      <c r="A184" s="343" t="s">
        <v>354</v>
      </c>
      <c r="B184" s="343"/>
      <c r="C184" s="343"/>
      <c r="D184" s="343"/>
      <c r="E184" s="343"/>
      <c r="F184" s="343"/>
      <c r="G184" s="343"/>
      <c r="H184" s="343"/>
      <c r="I184" s="343"/>
      <c r="J184" s="343"/>
    </row>
    <row r="185" spans="1:10" ht="112.5" customHeight="1" x14ac:dyDescent="0.25">
      <c r="A185" s="323"/>
      <c r="B185" s="323"/>
      <c r="C185" s="323"/>
      <c r="D185" s="323"/>
      <c r="E185" s="323"/>
      <c r="F185" s="323"/>
      <c r="G185" s="323"/>
      <c r="H185" s="323"/>
      <c r="I185" s="323"/>
      <c r="J185" s="323"/>
    </row>
    <row r="186" spans="1:10" x14ac:dyDescent="0.25">
      <c r="A186" s="357" t="s">
        <v>198</v>
      </c>
      <c r="B186" s="358"/>
      <c r="C186" s="358"/>
      <c r="D186" s="358"/>
      <c r="E186" s="358"/>
      <c r="F186" s="358"/>
      <c r="G186" s="358"/>
      <c r="H186" s="358"/>
      <c r="I186" s="358"/>
      <c r="J186" s="358"/>
    </row>
    <row r="187" spans="1:10" ht="29.25" customHeight="1" x14ac:dyDescent="0.25">
      <c r="A187" s="235" t="s">
        <v>318</v>
      </c>
      <c r="B187" s="236"/>
      <c r="C187" s="236"/>
      <c r="D187" s="236"/>
      <c r="E187" s="236"/>
      <c r="F187" s="236"/>
      <c r="G187" s="236"/>
      <c r="H187" s="236"/>
      <c r="I187" s="236"/>
      <c r="J187" s="237"/>
    </row>
    <row r="188" spans="1:10" x14ac:dyDescent="0.25">
      <c r="A188" s="359" t="s">
        <v>342</v>
      </c>
      <c r="B188" s="360"/>
      <c r="C188" s="361" t="s">
        <v>319</v>
      </c>
      <c r="D188" s="361"/>
      <c r="E188" s="361" t="s">
        <v>320</v>
      </c>
      <c r="F188" s="361"/>
      <c r="G188" s="361" t="s">
        <v>321</v>
      </c>
      <c r="H188" s="361"/>
      <c r="I188" s="361" t="s">
        <v>199</v>
      </c>
      <c r="J188" s="361"/>
    </row>
    <row r="189" spans="1:10" x14ac:dyDescent="0.25">
      <c r="A189" s="271" t="s">
        <v>30</v>
      </c>
      <c r="B189" s="220" t="str">
        <f>IF('SGO #1(Tiered or Simple)'!D11=0,"",IF('SGO #1(Tiered or Simple)'!T37=0,'SGO #1(Tiered or Simple)'!S37,'SGO #1(Tiered or Simple)'!U37))</f>
        <v/>
      </c>
      <c r="C189" s="214" t="str">
        <f>IF('SGO #1(Tiered or Simple)'!D11=0,"",'SGO #1(Tiered or Simple)'!H11)</f>
        <v/>
      </c>
      <c r="D189" s="214"/>
      <c r="E189" s="227" t="str">
        <f>IF('SGO #1(Tiered or Simple)'!D11=0,"",'SGO #1(Tiered or Simple)'!I11)</f>
        <v/>
      </c>
      <c r="F189" s="214"/>
      <c r="G189" s="214" t="str">
        <f>IF('SGO #1(Tiered or Simple)'!D11=0,"",'SGO #1(Tiered or Simple)'!J11)</f>
        <v/>
      </c>
      <c r="H189" s="214"/>
      <c r="I189" s="214" t="str">
        <f>IF('SGO #1(Tiered or Simple)'!D11=0,"",'SGO #1(Tiered or Simple)'!K11)</f>
        <v/>
      </c>
      <c r="J189" s="214"/>
    </row>
    <row r="190" spans="1:10" x14ac:dyDescent="0.25">
      <c r="A190" s="271"/>
      <c r="B190" s="220"/>
      <c r="C190" s="214" t="str">
        <f>IF('SGO #1(Tiered or Simple)'!D11=0,"",'SGO #1(Tiered or Simple)'!H12)</f>
        <v/>
      </c>
      <c r="D190" s="214"/>
      <c r="E190" s="214" t="str">
        <f>IF('SGO #1(Tiered or Simple)'!D11=0,"",'SGO #1(Tiered or Simple)'!I12)</f>
        <v/>
      </c>
      <c r="F190" s="214"/>
      <c r="G190" s="214" t="str">
        <f>IF('SGO #1(Tiered or Simple)'!D11=0,"",'SGO #1(Tiered or Simple)'!J12)</f>
        <v/>
      </c>
      <c r="H190" s="214"/>
      <c r="I190" s="214" t="str">
        <f>IF('SGO #1(Tiered or Simple)'!D11=0,"",'SGO #1(Tiered or Simple)'!K12)</f>
        <v/>
      </c>
      <c r="J190" s="214"/>
    </row>
    <row r="191" spans="1:10" x14ac:dyDescent="0.25">
      <c r="A191" s="271" t="s">
        <v>192</v>
      </c>
      <c r="B191" s="220" t="str">
        <f>IF('SGO #1(Tiered or Simple)'!D14=0,"",IF('SGO #1(Tiered or Simple)'!T38=0,'SGO #1(Tiered or Simple)'!S38,'SGO #1(Tiered or Simple)'!U38))</f>
        <v/>
      </c>
      <c r="C191" s="214" t="str">
        <f>IF('SGO #1(Tiered or Simple)'!D14=0,"",'SGO #1(Tiered or Simple)'!H14)</f>
        <v/>
      </c>
      <c r="D191" s="214"/>
      <c r="E191" s="227" t="str">
        <f>IF('SGO #1(Tiered or Simple)'!D14=0,"",'SGO #1(Tiered or Simple)'!I14)</f>
        <v/>
      </c>
      <c r="F191" s="214"/>
      <c r="G191" s="214" t="str">
        <f>IF('SGO #1(Tiered or Simple)'!D14=0,"",'SGO #1(Tiered or Simple)'!J14)</f>
        <v/>
      </c>
      <c r="H191" s="214"/>
      <c r="I191" s="214" t="str">
        <f>IF('SGO #1(Tiered or Simple)'!D14=0,"",'SGO #1(Tiered or Simple)'!K14)</f>
        <v/>
      </c>
      <c r="J191" s="214"/>
    </row>
    <row r="192" spans="1:10" x14ac:dyDescent="0.25">
      <c r="A192" s="271"/>
      <c r="B192" s="220"/>
      <c r="C192" s="214" t="str">
        <f>IF('SGO #1(Tiered or Simple)'!D14=0,"",'SGO #1(Tiered or Simple)'!H15)</f>
        <v/>
      </c>
      <c r="D192" s="214"/>
      <c r="E192" s="214" t="str">
        <f>IF('SGO #1(Tiered or Simple)'!D14=0,"",'SGO #1(Tiered or Simple)'!I15)</f>
        <v/>
      </c>
      <c r="F192" s="214"/>
      <c r="G192" s="214" t="str">
        <f>IF('SGO #1(Tiered or Simple)'!D14=0,"",'SGO #1(Tiered or Simple)'!J15)</f>
        <v/>
      </c>
      <c r="H192" s="214"/>
      <c r="I192" s="214" t="str">
        <f>IF('SGO #1(Tiered or Simple)'!D14=0,"",'SGO #1(Tiered or Simple)'!K15)</f>
        <v/>
      </c>
      <c r="J192" s="214"/>
    </row>
    <row r="193" spans="1:10" x14ac:dyDescent="0.25">
      <c r="A193" s="271" t="s">
        <v>28</v>
      </c>
      <c r="B193" s="220" t="str">
        <f>IF('SGO #1(Tiered or Simple)'!D17=0,"",IF('SGO #1(Tiered or Simple)'!T39=0,'SGO #1(Tiered or Simple)'!S39,'SGO #1(Tiered or Simple)'!U39))</f>
        <v/>
      </c>
      <c r="C193" s="214" t="str">
        <f>IF('SGO #1(Tiered or Simple)'!D17=0,"",'SGO #1(Tiered or Simple)'!H17)</f>
        <v/>
      </c>
      <c r="D193" s="214"/>
      <c r="E193" s="227" t="str">
        <f>IF('SGO #1(Tiered or Simple)'!D17=0,"",'SGO #1(Tiered or Simple)'!I17)</f>
        <v/>
      </c>
      <c r="F193" s="214"/>
      <c r="G193" s="214" t="str">
        <f>IF('SGO #1(Tiered or Simple)'!D17=0,"",'SGO #1(Tiered or Simple)'!J17)</f>
        <v/>
      </c>
      <c r="H193" s="214"/>
      <c r="I193" s="214" t="str">
        <f>IF('SGO #1(Tiered or Simple)'!D17=0,"",'SGO #1(Tiered or Simple)'!K17)</f>
        <v/>
      </c>
      <c r="J193" s="214"/>
    </row>
    <row r="194" spans="1:10" x14ac:dyDescent="0.25">
      <c r="A194" s="271"/>
      <c r="B194" s="220"/>
      <c r="C194" s="214" t="str">
        <f>IF('SGO #1(Tiered or Simple)'!D17=0,"",'SGO #1(Tiered or Simple)'!H18)</f>
        <v/>
      </c>
      <c r="D194" s="214"/>
      <c r="E194" s="214" t="str">
        <f>IF('SGO #1(Tiered or Simple)'!D17=0,"",'SGO #1(Tiered or Simple)'!I18)</f>
        <v/>
      </c>
      <c r="F194" s="214"/>
      <c r="G194" s="214" t="str">
        <f>IF('SGO #1(Tiered or Simple)'!D17=0,"",'SGO #1(Tiered or Simple)'!J18)</f>
        <v/>
      </c>
      <c r="H194" s="214"/>
      <c r="I194" s="214" t="str">
        <f>IF('SGO #1(Tiered or Simple)'!D17=0,"",'SGO #1(Tiered or Simple)'!K18)</f>
        <v/>
      </c>
      <c r="J194" s="214"/>
    </row>
    <row r="195" spans="1:10" ht="29.25" customHeight="1" x14ac:dyDescent="0.25">
      <c r="A195" s="225" t="s">
        <v>322</v>
      </c>
      <c r="B195" s="226"/>
      <c r="C195" s="226"/>
      <c r="D195" s="226"/>
      <c r="E195" s="226"/>
      <c r="F195" s="226"/>
      <c r="G195" s="226"/>
      <c r="H195" s="226"/>
      <c r="I195" s="226"/>
      <c r="J195" s="226"/>
    </row>
    <row r="196" spans="1:10" ht="21" customHeight="1" x14ac:dyDescent="0.25">
      <c r="A196" s="79" t="s">
        <v>323</v>
      </c>
      <c r="B196" s="214">
        <f>C146</f>
        <v>0</v>
      </c>
      <c r="C196" s="214"/>
      <c r="D196" s="79" t="s">
        <v>324</v>
      </c>
      <c r="E196" s="215"/>
      <c r="F196" s="215"/>
      <c r="G196" s="216" t="s">
        <v>325</v>
      </c>
      <c r="H196" s="216"/>
      <c r="I196" s="330"/>
      <c r="J196" s="330"/>
    </row>
    <row r="197" spans="1:10" ht="21" customHeight="1" x14ac:dyDescent="0.25">
      <c r="A197" s="79" t="s">
        <v>326</v>
      </c>
      <c r="B197" s="214">
        <f>C147</f>
        <v>0</v>
      </c>
      <c r="C197" s="214"/>
      <c r="D197" s="79" t="s">
        <v>324</v>
      </c>
      <c r="E197" s="215"/>
      <c r="F197" s="215"/>
      <c r="G197" s="216" t="s">
        <v>327</v>
      </c>
      <c r="H197" s="216"/>
      <c r="I197" s="330"/>
      <c r="J197" s="330"/>
    </row>
    <row r="198" spans="1:10" ht="29.25" customHeight="1" x14ac:dyDescent="0.25">
      <c r="A198" s="218" t="s">
        <v>328</v>
      </c>
      <c r="B198" s="219"/>
      <c r="C198" s="219"/>
      <c r="D198" s="219"/>
      <c r="E198" s="219"/>
      <c r="F198" s="219"/>
      <c r="G198" s="219"/>
      <c r="H198" s="219"/>
      <c r="I198" s="219"/>
      <c r="J198" s="219"/>
    </row>
    <row r="199" spans="1:10" ht="48.75" customHeight="1" x14ac:dyDescent="0.25">
      <c r="A199" s="103" t="s">
        <v>195</v>
      </c>
      <c r="B199" s="124" t="s">
        <v>351</v>
      </c>
      <c r="C199" s="104" t="s">
        <v>352</v>
      </c>
      <c r="D199" s="104" t="s">
        <v>355</v>
      </c>
      <c r="E199" s="104" t="s">
        <v>357</v>
      </c>
      <c r="F199" s="104" t="s">
        <v>356</v>
      </c>
      <c r="G199" s="89" t="s">
        <v>323</v>
      </c>
      <c r="H199" s="220">
        <f>C146</f>
        <v>0</v>
      </c>
      <c r="I199" s="220"/>
      <c r="J199" s="220"/>
    </row>
    <row r="200" spans="1:10" ht="24" customHeight="1" x14ac:dyDescent="0.25">
      <c r="A200" s="122" t="s">
        <v>30</v>
      </c>
      <c r="B200" s="122" t="str">
        <f>IF('SGO #1(Tiered or Simple)'!D11=0,"",'SGO #1(Tiered or Simple)'!L12)</f>
        <v/>
      </c>
      <c r="C200" s="122" t="str">
        <f>IF('SGO #1(Tiered or Simple)'!D11=0,"",'SGO #1(Tiered or Simple)'!N11)</f>
        <v/>
      </c>
      <c r="D200" s="127" t="str">
        <f>IF('SGO #1(Tiered or Simple)'!D11=0,"",'SGO #1(Tiered or Simple)'!E11)</f>
        <v/>
      </c>
      <c r="E200" s="128" t="str">
        <f>IF('SGO #1(Tiered or Simple)'!D11=0,"",C200*D200)</f>
        <v/>
      </c>
      <c r="F200" s="333" t="e">
        <f>'SGO #1(Tiered or Simple)'!N4</f>
        <v>#DIV/0!</v>
      </c>
      <c r="G200" s="89" t="s">
        <v>326</v>
      </c>
      <c r="H200" s="220">
        <f>C147</f>
        <v>0</v>
      </c>
      <c r="I200" s="220"/>
      <c r="J200" s="220"/>
    </row>
    <row r="201" spans="1:10" ht="24" customHeight="1" x14ac:dyDescent="0.25">
      <c r="A201" s="123" t="s">
        <v>192</v>
      </c>
      <c r="B201" s="123" t="str">
        <f>IF('SGO #1(Tiered or Simple)'!D14=0,"",'SGO #1(Tiered or Simple)'!L15)</f>
        <v/>
      </c>
      <c r="C201" s="123" t="str">
        <f>IF('SGO #1(Tiered or Simple)'!D14=0,"",'SGO #1(Tiered or Simple)'!N14)</f>
        <v/>
      </c>
      <c r="D201" s="129" t="str">
        <f>IF('SGO #1(Tiered or Simple)'!D14=0,"",'SGO #1(Tiered or Simple)'!E14)</f>
        <v/>
      </c>
      <c r="E201" s="128" t="str">
        <f>IF('SGO #1(Tiered or Simple)'!D14=0,"",C201*D201)</f>
        <v/>
      </c>
      <c r="F201" s="333"/>
      <c r="G201" s="89" t="s">
        <v>330</v>
      </c>
      <c r="H201" s="331"/>
      <c r="I201" s="331"/>
      <c r="J201" s="331"/>
    </row>
    <row r="202" spans="1:10" ht="24" customHeight="1" x14ac:dyDescent="0.25">
      <c r="A202" s="123" t="s">
        <v>28</v>
      </c>
      <c r="B202" s="123" t="str">
        <f>IF('SGO #1(Tiered or Simple)'!D17=0,"",'SGO #1(Tiered or Simple)'!L18)</f>
        <v/>
      </c>
      <c r="C202" s="123" t="str">
        <f>IF('SGO #1(Tiered or Simple)'!D17=0,"",'SGO #1(Tiered or Simple)'!N17)</f>
        <v/>
      </c>
      <c r="D202" s="129" t="str">
        <f>IF('SGO #1(Tiered or Simple)'!D17=0,"",'SGO #1(Tiered or Simple)'!E17)</f>
        <v/>
      </c>
      <c r="E202" s="128" t="str">
        <f>IF('SGO #1(Tiered or Simple)'!D17=0,"",C202*D202)</f>
        <v/>
      </c>
      <c r="F202" s="333"/>
      <c r="G202" s="89"/>
      <c r="H202" s="220"/>
      <c r="I202" s="220"/>
      <c r="J202" s="220"/>
    </row>
    <row r="204" spans="1:10" ht="42" customHeight="1" x14ac:dyDescent="0.25">
      <c r="A204" s="208" t="s">
        <v>331</v>
      </c>
      <c r="B204" s="209"/>
      <c r="C204" s="209"/>
      <c r="D204" s="209"/>
      <c r="E204" s="209"/>
      <c r="F204" s="209"/>
      <c r="G204" s="209"/>
      <c r="H204" s="209"/>
      <c r="I204" s="209"/>
      <c r="J204" s="209"/>
    </row>
    <row r="206" spans="1:10" ht="31.5" customHeight="1" x14ac:dyDescent="0.25">
      <c r="A206" s="210" t="s">
        <v>204</v>
      </c>
      <c r="B206" s="210"/>
      <c r="C206" s="222">
        <f>C146</f>
        <v>0</v>
      </c>
      <c r="D206" s="222"/>
      <c r="E206" s="222"/>
      <c r="F206" s="222"/>
      <c r="G206" s="212" t="s">
        <v>330</v>
      </c>
      <c r="H206" s="212"/>
      <c r="I206" s="223"/>
      <c r="J206" s="223"/>
    </row>
    <row r="207" spans="1:10" ht="31.5" customHeight="1" x14ac:dyDescent="0.25">
      <c r="A207" s="211" t="s">
        <v>332</v>
      </c>
      <c r="B207" s="211"/>
      <c r="C207" s="221" t="str">
        <f>C3&amp;"/"&amp;F3</f>
        <v>/</v>
      </c>
      <c r="D207" s="221"/>
      <c r="E207" s="221"/>
      <c r="F207" s="221"/>
      <c r="G207" s="84"/>
      <c r="H207" s="77"/>
      <c r="I207" s="77"/>
    </row>
    <row r="208" spans="1:10" ht="31.5" customHeight="1" x14ac:dyDescent="0.25">
      <c r="A208" s="210" t="s">
        <v>205</v>
      </c>
      <c r="B208" s="210"/>
      <c r="C208" s="221">
        <f>C147</f>
        <v>0</v>
      </c>
      <c r="D208" s="221"/>
      <c r="E208" s="221"/>
      <c r="F208" s="221"/>
      <c r="G208" s="84"/>
      <c r="H208" s="77"/>
      <c r="I208" s="77"/>
    </row>
    <row r="210" spans="1:10" ht="29.25" customHeight="1" x14ac:dyDescent="0.25">
      <c r="A210" s="213" t="s">
        <v>333</v>
      </c>
      <c r="B210" s="213"/>
      <c r="C210" s="213"/>
      <c r="D210" s="213"/>
      <c r="E210" s="213"/>
      <c r="F210" s="213"/>
      <c r="G210" s="213"/>
      <c r="H210" s="213"/>
      <c r="I210" s="213"/>
      <c r="J210" s="213"/>
    </row>
    <row r="212" spans="1:10" x14ac:dyDescent="0.25">
      <c r="A212" s="203" t="s">
        <v>334</v>
      </c>
      <c r="B212" s="203"/>
      <c r="C212" s="203"/>
      <c r="D212" s="203"/>
      <c r="E212" s="203"/>
      <c r="F212" s="203"/>
      <c r="G212" s="203"/>
      <c r="H212" s="203"/>
      <c r="I212" s="203"/>
      <c r="J212" s="203"/>
    </row>
    <row r="213" spans="1:10" ht="75" customHeight="1" x14ac:dyDescent="0.25">
      <c r="A213" s="204"/>
      <c r="B213" s="205"/>
      <c r="C213" s="205"/>
      <c r="D213" s="205"/>
      <c r="E213" s="205"/>
      <c r="F213" s="205"/>
      <c r="G213" s="205"/>
      <c r="H213" s="205"/>
      <c r="I213" s="205"/>
      <c r="J213" s="206"/>
    </row>
    <row r="214" spans="1:10" x14ac:dyDescent="0.25">
      <c r="A214" s="203" t="s">
        <v>335</v>
      </c>
      <c r="B214" s="203"/>
      <c r="C214" s="203"/>
      <c r="D214" s="203"/>
      <c r="E214" s="203"/>
      <c r="F214" s="203"/>
      <c r="G214" s="203"/>
      <c r="H214" s="203"/>
      <c r="I214" s="203"/>
      <c r="J214" s="203"/>
    </row>
    <row r="215" spans="1:10" ht="75" customHeight="1" x14ac:dyDescent="0.25">
      <c r="A215" s="204"/>
      <c r="B215" s="205"/>
      <c r="C215" s="205"/>
      <c r="D215" s="205"/>
      <c r="E215" s="205"/>
      <c r="F215" s="205"/>
      <c r="G215" s="205"/>
      <c r="H215" s="205"/>
      <c r="I215" s="205"/>
      <c r="J215" s="206"/>
    </row>
    <row r="216" spans="1:10" x14ac:dyDescent="0.25">
      <c r="A216" s="203" t="s">
        <v>336</v>
      </c>
      <c r="B216" s="203"/>
      <c r="C216" s="203"/>
      <c r="D216" s="203"/>
      <c r="E216" s="203"/>
      <c r="F216" s="203"/>
      <c r="G216" s="203"/>
      <c r="H216" s="203"/>
      <c r="I216" s="203"/>
      <c r="J216" s="203"/>
    </row>
    <row r="217" spans="1:10" ht="75" customHeight="1" x14ac:dyDescent="0.25">
      <c r="A217" s="204"/>
      <c r="B217" s="205"/>
      <c r="C217" s="205"/>
      <c r="D217" s="205"/>
      <c r="E217" s="205"/>
      <c r="F217" s="205"/>
      <c r="G217" s="205"/>
      <c r="H217" s="205"/>
      <c r="I217" s="205"/>
      <c r="J217" s="206"/>
    </row>
    <row r="218" spans="1:10" x14ac:dyDescent="0.25">
      <c r="A218" s="203" t="s">
        <v>337</v>
      </c>
      <c r="B218" s="203"/>
      <c r="C218" s="203"/>
      <c r="D218" s="203"/>
      <c r="E218" s="203"/>
      <c r="F218" s="203"/>
      <c r="G218" s="203"/>
      <c r="H218" s="203"/>
      <c r="I218" s="203"/>
      <c r="J218" s="203"/>
    </row>
    <row r="219" spans="1:10" ht="75" customHeight="1" x14ac:dyDescent="0.25">
      <c r="A219" s="204"/>
      <c r="B219" s="205"/>
      <c r="C219" s="205"/>
      <c r="D219" s="205"/>
      <c r="E219" s="205"/>
      <c r="F219" s="205"/>
      <c r="G219" s="205"/>
      <c r="H219" s="205"/>
      <c r="I219" s="205"/>
      <c r="J219" s="206"/>
    </row>
    <row r="220" spans="1:10" ht="17.25" customHeight="1" x14ac:dyDescent="0.25">
      <c r="A220" s="91"/>
      <c r="B220" s="91"/>
      <c r="C220" s="91"/>
      <c r="D220" s="91"/>
      <c r="E220" s="91"/>
      <c r="F220" s="91"/>
      <c r="G220" s="91"/>
      <c r="H220" s="91"/>
      <c r="I220" s="91"/>
      <c r="J220" s="91"/>
    </row>
    <row r="221" spans="1:10" ht="36.75" customHeight="1" x14ac:dyDescent="0.25">
      <c r="A221" s="207" t="s">
        <v>338</v>
      </c>
      <c r="B221" s="207"/>
      <c r="C221" s="207"/>
      <c r="D221" s="207"/>
      <c r="E221" s="207"/>
      <c r="F221" s="207"/>
      <c r="G221" s="207"/>
      <c r="H221" s="207"/>
      <c r="I221" s="207"/>
      <c r="J221" s="207"/>
    </row>
    <row r="222" spans="1:10" x14ac:dyDescent="0.25">
      <c r="A222" s="100"/>
      <c r="B222" s="100"/>
      <c r="C222" s="100"/>
      <c r="D222" s="100"/>
      <c r="E222" s="100"/>
      <c r="F222" s="100"/>
      <c r="G222" s="100"/>
      <c r="H222" s="100"/>
      <c r="I222" s="100"/>
      <c r="J222" s="100"/>
    </row>
  </sheetData>
  <sheetProtection password="CC4A" sheet="1" objects="1" scenarios="1" formatCells="0" formatRows="0" selectLockedCells="1"/>
  <mergeCells count="353">
    <mergeCell ref="A219:J219"/>
    <mergeCell ref="A221:J221"/>
    <mergeCell ref="A184:J184"/>
    <mergeCell ref="A185:J185"/>
    <mergeCell ref="F200:F202"/>
    <mergeCell ref="A213:J213"/>
    <mergeCell ref="A214:J214"/>
    <mergeCell ref="A215:J215"/>
    <mergeCell ref="A216:J216"/>
    <mergeCell ref="A217:J217"/>
    <mergeCell ref="A218:J218"/>
    <mergeCell ref="A207:B207"/>
    <mergeCell ref="C207:F207"/>
    <mergeCell ref="A208:B208"/>
    <mergeCell ref="C208:F208"/>
    <mergeCell ref="A210:J210"/>
    <mergeCell ref="A212:J212"/>
    <mergeCell ref="H202:J202"/>
    <mergeCell ref="A204:J204"/>
    <mergeCell ref="A206:B206"/>
    <mergeCell ref="C206:F206"/>
    <mergeCell ref="G206:H206"/>
    <mergeCell ref="I206:J206"/>
    <mergeCell ref="A198:J198"/>
    <mergeCell ref="H199:J199"/>
    <mergeCell ref="H200:J200"/>
    <mergeCell ref="H201:J201"/>
    <mergeCell ref="B196:C196"/>
    <mergeCell ref="E196:F196"/>
    <mergeCell ref="G196:H196"/>
    <mergeCell ref="I196:J196"/>
    <mergeCell ref="B197:C197"/>
    <mergeCell ref="E197:F197"/>
    <mergeCell ref="G197:H197"/>
    <mergeCell ref="I197:J197"/>
    <mergeCell ref="A195:J195"/>
    <mergeCell ref="I191:J191"/>
    <mergeCell ref="C192:D192"/>
    <mergeCell ref="E192:F192"/>
    <mergeCell ref="G192:H192"/>
    <mergeCell ref="I192:J192"/>
    <mergeCell ref="A193:A194"/>
    <mergeCell ref="B193:B194"/>
    <mergeCell ref="C193:D193"/>
    <mergeCell ref="E193:F193"/>
    <mergeCell ref="G193:H193"/>
    <mergeCell ref="A191:A192"/>
    <mergeCell ref="B191:B192"/>
    <mergeCell ref="C191:D191"/>
    <mergeCell ref="E191:F191"/>
    <mergeCell ref="G191:H191"/>
    <mergeCell ref="I193:J193"/>
    <mergeCell ref="C194:D194"/>
    <mergeCell ref="E194:F194"/>
    <mergeCell ref="G194:H194"/>
    <mergeCell ref="I194:J194"/>
    <mergeCell ref="A188:B188"/>
    <mergeCell ref="C188:D188"/>
    <mergeCell ref="E188:F188"/>
    <mergeCell ref="G188:H188"/>
    <mergeCell ref="I188:J188"/>
    <mergeCell ref="A189:A190"/>
    <mergeCell ref="B189:B190"/>
    <mergeCell ref="C189:D189"/>
    <mergeCell ref="E189:F189"/>
    <mergeCell ref="G189:H189"/>
    <mergeCell ref="I189:J189"/>
    <mergeCell ref="C190:D190"/>
    <mergeCell ref="E190:F190"/>
    <mergeCell ref="G190:H190"/>
    <mergeCell ref="I190:J190"/>
    <mergeCell ref="A183:B183"/>
    <mergeCell ref="C183:D183"/>
    <mergeCell ref="E183:G183"/>
    <mergeCell ref="H183:J183"/>
    <mergeCell ref="A186:J186"/>
    <mergeCell ref="A187:J187"/>
    <mergeCell ref="A181:B181"/>
    <mergeCell ref="C181:D181"/>
    <mergeCell ref="E181:G181"/>
    <mergeCell ref="H181:J181"/>
    <mergeCell ref="A182:B182"/>
    <mergeCell ref="C182:D182"/>
    <mergeCell ref="E182:G182"/>
    <mergeCell ref="H182:J182"/>
    <mergeCell ref="A177:J177"/>
    <mergeCell ref="A178:J178"/>
    <mergeCell ref="A179:J179"/>
    <mergeCell ref="A180:B180"/>
    <mergeCell ref="C180:D180"/>
    <mergeCell ref="E180:G180"/>
    <mergeCell ref="H180:J180"/>
    <mergeCell ref="A172:B174"/>
    <mergeCell ref="C172:D174"/>
    <mergeCell ref="E172:G174"/>
    <mergeCell ref="I174:J174"/>
    <mergeCell ref="A175:B176"/>
    <mergeCell ref="C175:G176"/>
    <mergeCell ref="H175:H176"/>
    <mergeCell ref="A165:C165"/>
    <mergeCell ref="D165:F165"/>
    <mergeCell ref="I165:J165"/>
    <mergeCell ref="A169:J169"/>
    <mergeCell ref="A171:B171"/>
    <mergeCell ref="C171:D171"/>
    <mergeCell ref="E171:G171"/>
    <mergeCell ref="H171:J171"/>
    <mergeCell ref="A158:J158"/>
    <mergeCell ref="A159:J159"/>
    <mergeCell ref="B161:J161"/>
    <mergeCell ref="A163:C163"/>
    <mergeCell ref="D163:F163"/>
    <mergeCell ref="I163:J163"/>
    <mergeCell ref="A152:C152"/>
    <mergeCell ref="D152:F152"/>
    <mergeCell ref="G152:J152"/>
    <mergeCell ref="A154:J154"/>
    <mergeCell ref="A155:J155"/>
    <mergeCell ref="A156:J156"/>
    <mergeCell ref="G149:J149"/>
    <mergeCell ref="A150:C150"/>
    <mergeCell ref="D150:F150"/>
    <mergeCell ref="G150:J150"/>
    <mergeCell ref="A151:C151"/>
    <mergeCell ref="D151:F151"/>
    <mergeCell ref="G151:J151"/>
    <mergeCell ref="A146:B146"/>
    <mergeCell ref="C146:F146"/>
    <mergeCell ref="A147:B147"/>
    <mergeCell ref="C147:F147"/>
    <mergeCell ref="A149:C149"/>
    <mergeCell ref="D149:F149"/>
    <mergeCell ref="A137:D137"/>
    <mergeCell ref="F137:J137"/>
    <mergeCell ref="A143:J143"/>
    <mergeCell ref="A145:B145"/>
    <mergeCell ref="C145:F145"/>
    <mergeCell ref="G145:I145"/>
    <mergeCell ref="A131:D136"/>
    <mergeCell ref="E131:J131"/>
    <mergeCell ref="F132:J132"/>
    <mergeCell ref="F133:J133"/>
    <mergeCell ref="F134:J134"/>
    <mergeCell ref="F135:J135"/>
    <mergeCell ref="F136:J136"/>
    <mergeCell ref="F126:J126"/>
    <mergeCell ref="A127:D129"/>
    <mergeCell ref="F127:J127"/>
    <mergeCell ref="F128:J128"/>
    <mergeCell ref="F129:J129"/>
    <mergeCell ref="A130:D130"/>
    <mergeCell ref="F130:J130"/>
    <mergeCell ref="A120:D120"/>
    <mergeCell ref="F120:G120"/>
    <mergeCell ref="I120:J120"/>
    <mergeCell ref="A121:D121"/>
    <mergeCell ref="F121:J121"/>
    <mergeCell ref="A122:D126"/>
    <mergeCell ref="E122:J122"/>
    <mergeCell ref="F123:J123"/>
    <mergeCell ref="F124:J124"/>
    <mergeCell ref="F125:J125"/>
    <mergeCell ref="A115:J115"/>
    <mergeCell ref="A117:D117"/>
    <mergeCell ref="F117:J117"/>
    <mergeCell ref="A118:D118"/>
    <mergeCell ref="F118:J118"/>
    <mergeCell ref="A119:D119"/>
    <mergeCell ref="F119:J119"/>
    <mergeCell ref="B104:J104"/>
    <mergeCell ref="B106:J106"/>
    <mergeCell ref="A108:C108"/>
    <mergeCell ref="D108:F108"/>
    <mergeCell ref="I108:J108"/>
    <mergeCell ref="A110:C110"/>
    <mergeCell ref="D110:F110"/>
    <mergeCell ref="I110:J110"/>
    <mergeCell ref="A96:B101"/>
    <mergeCell ref="D96:J96"/>
    <mergeCell ref="D97:J97"/>
    <mergeCell ref="D98:J98"/>
    <mergeCell ref="D99:J99"/>
    <mergeCell ref="D100:J100"/>
    <mergeCell ref="A91:B95"/>
    <mergeCell ref="D91:J91"/>
    <mergeCell ref="D92:J92"/>
    <mergeCell ref="D93:J93"/>
    <mergeCell ref="D94:J94"/>
    <mergeCell ref="C95:D95"/>
    <mergeCell ref="E95:J95"/>
    <mergeCell ref="C101:D101"/>
    <mergeCell ref="E101:J101"/>
    <mergeCell ref="A85:B85"/>
    <mergeCell ref="C85:J85"/>
    <mergeCell ref="A86:B90"/>
    <mergeCell ref="D86:J86"/>
    <mergeCell ref="D87:J87"/>
    <mergeCell ref="D88:J88"/>
    <mergeCell ref="D89:J89"/>
    <mergeCell ref="A81:B81"/>
    <mergeCell ref="C81:G81"/>
    <mergeCell ref="A82:B82"/>
    <mergeCell ref="C82:G82"/>
    <mergeCell ref="A83:B83"/>
    <mergeCell ref="C83:G83"/>
    <mergeCell ref="C90:D90"/>
    <mergeCell ref="E90:J90"/>
    <mergeCell ref="A77:B77"/>
    <mergeCell ref="C77:D77"/>
    <mergeCell ref="E77:F77"/>
    <mergeCell ref="G77:H77"/>
    <mergeCell ref="I77:J77"/>
    <mergeCell ref="A79:J79"/>
    <mergeCell ref="A75:B75"/>
    <mergeCell ref="C75:D75"/>
    <mergeCell ref="E75:F75"/>
    <mergeCell ref="G75:H75"/>
    <mergeCell ref="I75:J75"/>
    <mergeCell ref="A76:B76"/>
    <mergeCell ref="C76:D76"/>
    <mergeCell ref="E76:F76"/>
    <mergeCell ref="G76:H76"/>
    <mergeCell ref="I76:J76"/>
    <mergeCell ref="A73:B73"/>
    <mergeCell ref="C73:D73"/>
    <mergeCell ref="E73:F73"/>
    <mergeCell ref="G73:H73"/>
    <mergeCell ref="I73:J73"/>
    <mergeCell ref="A74:B74"/>
    <mergeCell ref="C74:D74"/>
    <mergeCell ref="E74:F74"/>
    <mergeCell ref="G74:H74"/>
    <mergeCell ref="I74:J74"/>
    <mergeCell ref="A66:J66"/>
    <mergeCell ref="A68:B68"/>
    <mergeCell ref="C68:G68"/>
    <mergeCell ref="A70:B70"/>
    <mergeCell ref="C70:G70"/>
    <mergeCell ref="A72:J72"/>
    <mergeCell ref="A64:B64"/>
    <mergeCell ref="C64:F64"/>
    <mergeCell ref="G64:J64"/>
    <mergeCell ref="A65:B65"/>
    <mergeCell ref="C65:F65"/>
    <mergeCell ref="G65:J65"/>
    <mergeCell ref="A62:B62"/>
    <mergeCell ref="C62:F62"/>
    <mergeCell ref="G62:J62"/>
    <mergeCell ref="A63:B63"/>
    <mergeCell ref="C63:F63"/>
    <mergeCell ref="G63:J63"/>
    <mergeCell ref="A60:B60"/>
    <mergeCell ref="C60:F60"/>
    <mergeCell ref="G60:J60"/>
    <mergeCell ref="A61:B61"/>
    <mergeCell ref="C61:F61"/>
    <mergeCell ref="G61:J61"/>
    <mergeCell ref="A58:B58"/>
    <mergeCell ref="C58:F58"/>
    <mergeCell ref="G58:J58"/>
    <mergeCell ref="A59:B59"/>
    <mergeCell ref="C59:F59"/>
    <mergeCell ref="G59:J59"/>
    <mergeCell ref="A56:B56"/>
    <mergeCell ref="C56:F56"/>
    <mergeCell ref="G56:J56"/>
    <mergeCell ref="A57:B57"/>
    <mergeCell ref="C57:F57"/>
    <mergeCell ref="G57:J57"/>
    <mergeCell ref="A54:B54"/>
    <mergeCell ref="C54:F54"/>
    <mergeCell ref="G54:J54"/>
    <mergeCell ref="A55:B55"/>
    <mergeCell ref="C55:F55"/>
    <mergeCell ref="G55:J55"/>
    <mergeCell ref="A52:B52"/>
    <mergeCell ref="C52:F52"/>
    <mergeCell ref="G52:J52"/>
    <mergeCell ref="A53:B53"/>
    <mergeCell ref="C53:F53"/>
    <mergeCell ref="G53:J53"/>
    <mergeCell ref="A36:B36"/>
    <mergeCell ref="C36:F36"/>
    <mergeCell ref="G36:J36"/>
    <mergeCell ref="A51:B51"/>
    <mergeCell ref="C51:F51"/>
    <mergeCell ref="G51:J51"/>
    <mergeCell ref="A31:B31"/>
    <mergeCell ref="C31:G31"/>
    <mergeCell ref="A33:J33"/>
    <mergeCell ref="A35:B35"/>
    <mergeCell ref="C35:F35"/>
    <mergeCell ref="G35:J35"/>
    <mergeCell ref="A37:B37"/>
    <mergeCell ref="A38:B38"/>
    <mergeCell ref="A39:B39"/>
    <mergeCell ref="A40:B40"/>
    <mergeCell ref="A41:B41"/>
    <mergeCell ref="A42:B42"/>
    <mergeCell ref="A43:B43"/>
    <mergeCell ref="A44:B44"/>
    <mergeCell ref="A45:B45"/>
    <mergeCell ref="A46:B46"/>
    <mergeCell ref="A47:B47"/>
    <mergeCell ref="A48:B48"/>
    <mergeCell ref="A27:J27"/>
    <mergeCell ref="A29:B29"/>
    <mergeCell ref="C29:G29"/>
    <mergeCell ref="A7:B7"/>
    <mergeCell ref="C7:G7"/>
    <mergeCell ref="A9:J9"/>
    <mergeCell ref="A10:J10"/>
    <mergeCell ref="A11:J11"/>
    <mergeCell ref="A13:J13"/>
    <mergeCell ref="A1:J1"/>
    <mergeCell ref="A3:B3"/>
    <mergeCell ref="C3:D3"/>
    <mergeCell ref="F3:G3"/>
    <mergeCell ref="A5:B5"/>
    <mergeCell ref="C5:G5"/>
    <mergeCell ref="A15:J15"/>
    <mergeCell ref="A23:J23"/>
    <mergeCell ref="A25:J25"/>
    <mergeCell ref="A49:B49"/>
    <mergeCell ref="A50:B50"/>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G46:J46"/>
    <mergeCell ref="G47:J47"/>
    <mergeCell ref="G48:J48"/>
    <mergeCell ref="G49:J49"/>
    <mergeCell ref="G50:J50"/>
    <mergeCell ref="G37:J37"/>
    <mergeCell ref="G38:J38"/>
    <mergeCell ref="G39:J39"/>
    <mergeCell ref="G40:J40"/>
    <mergeCell ref="G41:J41"/>
    <mergeCell ref="G42:J42"/>
    <mergeCell ref="G43:J43"/>
    <mergeCell ref="G44:J44"/>
    <mergeCell ref="G45:J45"/>
  </mergeCells>
  <dataValidations disablePrompts="1" count="1">
    <dataValidation type="list" allowBlank="1" showInputMessage="1" showErrorMessage="1" sqref="C86:C89 C91:C94 C96:C100 A104 A106 E123:E125 E132:E135 E127:E128 A161 I172:I173 J175:J176">
      <formula1>"---,X"</formula1>
    </dataValidation>
  </dataValidations>
  <pageMargins left="0.7" right="0.7" top="0.92708333333333337" bottom="0.75" header="0.3" footer="0.3"/>
  <pageSetup scale="98" fitToHeight="0" orientation="portrait" horizontalDpi="300" r:id="rId1"/>
  <headerFooter>
    <oddHeader>&amp;L
&amp;CSGO#1 TIERED (WEIGHTED)</oddHeader>
  </headerFooter>
  <rowBreaks count="8" manualBreakCount="8">
    <brk id="25" max="16383" man="1"/>
    <brk id="65" max="16383" man="1"/>
    <brk id="78" max="16383" man="1"/>
    <brk id="113" max="16383" man="1"/>
    <brk id="141" max="16383" man="1"/>
    <brk id="167" max="16383" man="1"/>
    <brk id="185" max="16383" man="1"/>
    <brk id="20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7558519241921"/>
    <pageSetUpPr fitToPage="1"/>
  </sheetPr>
  <dimension ref="A1:J219"/>
  <sheetViews>
    <sheetView view="pageLayout" zoomScaleNormal="100" workbookViewId="0">
      <selection activeCell="C3" sqref="C3:D3"/>
    </sheetView>
  </sheetViews>
  <sheetFormatPr defaultRowHeight="15" x14ac:dyDescent="0.25"/>
  <sheetData>
    <row r="1" spans="1:10" ht="42.75" customHeight="1" x14ac:dyDescent="0.25">
      <c r="A1" s="208" t="s">
        <v>341</v>
      </c>
      <c r="B1" s="326"/>
      <c r="C1" s="326"/>
      <c r="D1" s="326"/>
      <c r="E1" s="326"/>
      <c r="F1" s="326"/>
      <c r="G1" s="326"/>
      <c r="H1" s="326"/>
      <c r="I1" s="326"/>
      <c r="J1" s="326"/>
    </row>
    <row r="3" spans="1:10" x14ac:dyDescent="0.25">
      <c r="A3" s="210" t="s">
        <v>340</v>
      </c>
      <c r="B3" s="210"/>
      <c r="C3" s="362"/>
      <c r="D3" s="362"/>
      <c r="E3" s="84" t="s">
        <v>339</v>
      </c>
      <c r="F3" s="362"/>
      <c r="G3" s="362"/>
    </row>
    <row r="4" spans="1:10" x14ac:dyDescent="0.25">
      <c r="A4" s="85"/>
      <c r="B4" s="85"/>
      <c r="C4" s="73"/>
    </row>
    <row r="5" spans="1:10" x14ac:dyDescent="0.25">
      <c r="A5" s="210" t="s">
        <v>204</v>
      </c>
      <c r="B5" s="210"/>
      <c r="C5" s="362"/>
      <c r="D5" s="362"/>
      <c r="E5" s="362"/>
      <c r="F5" s="362"/>
      <c r="G5" s="362"/>
    </row>
    <row r="6" spans="1:10" x14ac:dyDescent="0.25">
      <c r="A6" s="85"/>
      <c r="B6" s="85"/>
      <c r="C6" s="73"/>
    </row>
    <row r="7" spans="1:10" x14ac:dyDescent="0.25">
      <c r="A7" s="210" t="s">
        <v>205</v>
      </c>
      <c r="B7" s="210"/>
      <c r="C7" s="362"/>
      <c r="D7" s="362"/>
      <c r="E7" s="362"/>
      <c r="F7" s="362"/>
      <c r="G7" s="362"/>
    </row>
    <row r="9" spans="1:10" ht="54" customHeight="1" x14ac:dyDescent="0.25">
      <c r="A9" s="207" t="s">
        <v>206</v>
      </c>
      <c r="B9" s="207"/>
      <c r="C9" s="207"/>
      <c r="D9" s="207"/>
      <c r="E9" s="207"/>
      <c r="F9" s="207"/>
      <c r="G9" s="207"/>
      <c r="H9" s="207"/>
      <c r="I9" s="207"/>
      <c r="J9" s="207"/>
    </row>
    <row r="10" spans="1:10" ht="11.25" customHeight="1" x14ac:dyDescent="0.25">
      <c r="A10" s="207"/>
      <c r="B10" s="207"/>
      <c r="C10" s="207"/>
      <c r="D10" s="207"/>
      <c r="E10" s="207"/>
      <c r="F10" s="207"/>
      <c r="G10" s="207"/>
      <c r="H10" s="207"/>
      <c r="I10" s="207"/>
      <c r="J10" s="207"/>
    </row>
    <row r="11" spans="1:10" ht="63.75" customHeight="1" x14ac:dyDescent="0.25">
      <c r="A11" s="207" t="s">
        <v>207</v>
      </c>
      <c r="B11" s="207"/>
      <c r="C11" s="207"/>
      <c r="D11" s="207"/>
      <c r="E11" s="207"/>
      <c r="F11" s="207"/>
      <c r="G11" s="207"/>
      <c r="H11" s="207"/>
      <c r="I11" s="207"/>
      <c r="J11" s="207"/>
    </row>
    <row r="12" spans="1:10" ht="10.5" customHeight="1" x14ac:dyDescent="0.25">
      <c r="A12" s="74"/>
      <c r="B12" s="74"/>
      <c r="C12" s="74"/>
      <c r="D12" s="74"/>
      <c r="E12" s="74"/>
      <c r="F12" s="74"/>
      <c r="G12" s="74"/>
      <c r="H12" s="74"/>
      <c r="I12" s="74"/>
      <c r="J12" s="74"/>
    </row>
    <row r="13" spans="1:10" ht="67.5" customHeight="1" x14ac:dyDescent="0.25">
      <c r="A13" s="207" t="s">
        <v>208</v>
      </c>
      <c r="B13" s="207"/>
      <c r="C13" s="207"/>
      <c r="D13" s="207"/>
      <c r="E13" s="207"/>
      <c r="F13" s="207"/>
      <c r="G13" s="207"/>
      <c r="H13" s="207"/>
      <c r="I13" s="207"/>
      <c r="J13" s="207"/>
    </row>
    <row r="14" spans="1:10" ht="9.75" customHeight="1" x14ac:dyDescent="0.25">
      <c r="A14" s="74"/>
      <c r="B14" s="74"/>
      <c r="C14" s="74"/>
      <c r="D14" s="74"/>
      <c r="E14" s="74"/>
      <c r="F14" s="74"/>
      <c r="G14" s="74"/>
      <c r="H14" s="74"/>
      <c r="I14" s="74"/>
      <c r="J14" s="74"/>
    </row>
    <row r="15" spans="1:10" ht="55.5" customHeight="1" x14ac:dyDescent="0.25">
      <c r="A15" s="207" t="s">
        <v>209</v>
      </c>
      <c r="B15" s="207"/>
      <c r="C15" s="207"/>
      <c r="D15" s="207"/>
      <c r="E15" s="207"/>
      <c r="F15" s="207"/>
      <c r="G15" s="207"/>
      <c r="H15" s="207"/>
      <c r="I15" s="207"/>
      <c r="J15" s="207"/>
    </row>
    <row r="16" spans="1:10" ht="8.25" customHeight="1" x14ac:dyDescent="0.25">
      <c r="A16" s="74"/>
      <c r="B16" s="74"/>
      <c r="C16" s="74"/>
      <c r="D16" s="74"/>
      <c r="E16" s="74"/>
      <c r="F16" s="74"/>
      <c r="G16" s="74"/>
      <c r="H16" s="74"/>
      <c r="I16" s="74"/>
      <c r="J16" s="74"/>
    </row>
    <row r="17" spans="1:10" x14ac:dyDescent="0.25">
      <c r="A17" s="76" t="s">
        <v>210</v>
      </c>
      <c r="B17" s="74"/>
      <c r="C17" s="74"/>
      <c r="D17" s="74"/>
      <c r="E17" s="74"/>
      <c r="F17" s="74"/>
      <c r="G17" s="74"/>
      <c r="H17" s="74"/>
      <c r="I17" s="74"/>
      <c r="J17" s="74"/>
    </row>
    <row r="18" spans="1:10" x14ac:dyDescent="0.25">
      <c r="A18" s="76" t="s">
        <v>211</v>
      </c>
      <c r="B18" s="74"/>
      <c r="C18" s="74"/>
      <c r="D18" s="74"/>
      <c r="E18" s="74"/>
      <c r="F18" s="74"/>
      <c r="G18" s="74"/>
      <c r="H18" s="74"/>
      <c r="I18" s="74"/>
      <c r="J18" s="74"/>
    </row>
    <row r="19" spans="1:10" x14ac:dyDescent="0.25">
      <c r="A19" s="76" t="s">
        <v>212</v>
      </c>
      <c r="B19" s="74"/>
      <c r="C19" s="74"/>
      <c r="D19" s="74"/>
      <c r="E19" s="74"/>
      <c r="F19" s="74"/>
      <c r="G19" s="74"/>
      <c r="H19" s="74"/>
      <c r="I19" s="74"/>
      <c r="J19" s="74"/>
    </row>
    <row r="20" spans="1:10" x14ac:dyDescent="0.25">
      <c r="A20" s="76" t="s">
        <v>213</v>
      </c>
      <c r="B20" s="74"/>
      <c r="C20" s="74"/>
      <c r="D20" s="74"/>
      <c r="E20" s="74"/>
      <c r="F20" s="74"/>
      <c r="G20" s="74"/>
      <c r="H20" s="74"/>
      <c r="I20" s="74"/>
      <c r="J20" s="74"/>
    </row>
    <row r="21" spans="1:10" x14ac:dyDescent="0.25">
      <c r="A21" s="76" t="s">
        <v>214</v>
      </c>
      <c r="B21" s="74"/>
      <c r="C21" s="74"/>
      <c r="D21" s="74"/>
      <c r="E21" s="74"/>
      <c r="F21" s="74"/>
      <c r="G21" s="74"/>
      <c r="H21" s="74"/>
      <c r="I21" s="74"/>
      <c r="J21" s="74"/>
    </row>
    <row r="22" spans="1:10" ht="10.5" customHeight="1" x14ac:dyDescent="0.25">
      <c r="A22" s="74"/>
      <c r="B22" s="74"/>
      <c r="C22" s="74"/>
      <c r="D22" s="74"/>
      <c r="E22" s="74"/>
      <c r="F22" s="74"/>
      <c r="G22" s="74"/>
      <c r="H22" s="74"/>
      <c r="I22" s="74"/>
      <c r="J22" s="74"/>
    </row>
    <row r="23" spans="1:10" ht="34.5" customHeight="1" x14ac:dyDescent="0.25">
      <c r="A23" s="207" t="s">
        <v>215</v>
      </c>
      <c r="B23" s="207"/>
      <c r="C23" s="207"/>
      <c r="D23" s="207"/>
      <c r="E23" s="207"/>
      <c r="F23" s="207"/>
      <c r="G23" s="207"/>
      <c r="H23" s="207"/>
      <c r="I23" s="207"/>
      <c r="J23" s="207"/>
    </row>
    <row r="24" spans="1:10" ht="9.75" customHeight="1" x14ac:dyDescent="0.25">
      <c r="A24" s="74"/>
      <c r="B24" s="74"/>
      <c r="C24" s="74"/>
      <c r="D24" s="74"/>
      <c r="E24" s="74"/>
      <c r="F24" s="74"/>
      <c r="G24" s="74"/>
      <c r="H24" s="74"/>
      <c r="I24" s="74"/>
      <c r="J24" s="74"/>
    </row>
    <row r="25" spans="1:10" ht="51.75" customHeight="1" x14ac:dyDescent="0.25">
      <c r="A25" s="207" t="s">
        <v>216</v>
      </c>
      <c r="B25" s="207"/>
      <c r="C25" s="207"/>
      <c r="D25" s="207"/>
      <c r="E25" s="207"/>
      <c r="F25" s="207"/>
      <c r="G25" s="207"/>
      <c r="H25" s="207"/>
      <c r="I25" s="207"/>
      <c r="J25" s="207"/>
    </row>
    <row r="26" spans="1:10" x14ac:dyDescent="0.25">
      <c r="A26" s="74"/>
      <c r="B26" s="74"/>
      <c r="C26" s="74"/>
      <c r="D26" s="74"/>
      <c r="E26" s="74"/>
      <c r="F26" s="74"/>
      <c r="G26" s="74"/>
      <c r="H26" s="74"/>
      <c r="I26" s="74"/>
      <c r="J26" s="74"/>
    </row>
    <row r="27" spans="1:10" ht="41.25" customHeight="1" x14ac:dyDescent="0.25">
      <c r="A27" s="208" t="s">
        <v>217</v>
      </c>
      <c r="B27" s="208"/>
      <c r="C27" s="208"/>
      <c r="D27" s="208"/>
      <c r="E27" s="208"/>
      <c r="F27" s="208"/>
      <c r="G27" s="208"/>
      <c r="H27" s="208"/>
      <c r="I27" s="208"/>
      <c r="J27" s="208"/>
    </row>
    <row r="28" spans="1:10" x14ac:dyDescent="0.25">
      <c r="A28" s="74"/>
      <c r="B28" s="74"/>
      <c r="C28" s="74"/>
      <c r="D28" s="74"/>
      <c r="E28" s="74"/>
      <c r="F28" s="74"/>
      <c r="G28" s="74"/>
      <c r="H28" s="74"/>
      <c r="I28" s="74"/>
      <c r="J28" s="74"/>
    </row>
    <row r="29" spans="1:10" x14ac:dyDescent="0.25">
      <c r="A29" s="210" t="s">
        <v>203</v>
      </c>
      <c r="B29" s="210"/>
      <c r="C29" s="363" t="str">
        <f>C3&amp;"/"&amp;F3</f>
        <v>/</v>
      </c>
      <c r="D29" s="363"/>
      <c r="E29" s="363"/>
      <c r="F29" s="363"/>
      <c r="G29" s="363"/>
    </row>
    <row r="30" spans="1:10" x14ac:dyDescent="0.25">
      <c r="A30" s="85"/>
      <c r="B30" s="85"/>
      <c r="C30" s="95"/>
      <c r="D30" s="64"/>
      <c r="E30" s="64"/>
      <c r="F30" s="64"/>
      <c r="G30" s="64"/>
    </row>
    <row r="31" spans="1:10" x14ac:dyDescent="0.25">
      <c r="A31" s="210" t="s">
        <v>204</v>
      </c>
      <c r="B31" s="210"/>
      <c r="C31" s="321">
        <f>C5</f>
        <v>0</v>
      </c>
      <c r="D31" s="321"/>
      <c r="E31" s="321"/>
      <c r="F31" s="321"/>
      <c r="G31" s="321"/>
    </row>
    <row r="33" spans="1:10" ht="63" customHeight="1" x14ac:dyDescent="0.25">
      <c r="A33" s="207" t="s">
        <v>218</v>
      </c>
      <c r="B33" s="207"/>
      <c r="C33" s="207"/>
      <c r="D33" s="207"/>
      <c r="E33" s="207"/>
      <c r="F33" s="207"/>
      <c r="G33" s="207"/>
      <c r="H33" s="207"/>
      <c r="I33" s="207"/>
      <c r="J33" s="207"/>
    </row>
    <row r="35" spans="1:10" ht="30.75" customHeight="1" x14ac:dyDescent="0.25">
      <c r="A35" s="328" t="s">
        <v>219</v>
      </c>
      <c r="B35" s="328"/>
      <c r="C35" s="328" t="s">
        <v>220</v>
      </c>
      <c r="D35" s="328"/>
      <c r="E35" s="328"/>
      <c r="F35" s="328"/>
      <c r="G35" s="328" t="s">
        <v>221</v>
      </c>
      <c r="H35" s="328"/>
      <c r="I35" s="328"/>
      <c r="J35" s="328"/>
    </row>
    <row r="36" spans="1:10" ht="24" customHeight="1" x14ac:dyDescent="0.25">
      <c r="A36" s="217"/>
      <c r="B36" s="217"/>
      <c r="C36" s="217"/>
      <c r="D36" s="217"/>
      <c r="E36" s="217"/>
      <c r="F36" s="217"/>
      <c r="G36" s="217"/>
      <c r="H36" s="217"/>
      <c r="I36" s="217"/>
      <c r="J36" s="217"/>
    </row>
    <row r="37" spans="1:10" s="119" customFormat="1" ht="24" customHeight="1" x14ac:dyDescent="0.25">
      <c r="A37" s="247"/>
      <c r="B37" s="248"/>
      <c r="C37" s="247"/>
      <c r="D37" s="329"/>
      <c r="E37" s="329"/>
      <c r="F37" s="248"/>
      <c r="G37" s="247"/>
      <c r="H37" s="329"/>
      <c r="I37" s="329"/>
      <c r="J37" s="248"/>
    </row>
    <row r="38" spans="1:10" s="119" customFormat="1" ht="24" customHeight="1" x14ac:dyDescent="0.25">
      <c r="A38" s="247"/>
      <c r="B38" s="248"/>
      <c r="C38" s="247"/>
      <c r="D38" s="329"/>
      <c r="E38" s="329"/>
      <c r="F38" s="248"/>
      <c r="G38" s="247"/>
      <c r="H38" s="329"/>
      <c r="I38" s="329"/>
      <c r="J38" s="248"/>
    </row>
    <row r="39" spans="1:10" s="119" customFormat="1" ht="24" customHeight="1" x14ac:dyDescent="0.25">
      <c r="A39" s="247"/>
      <c r="B39" s="248"/>
      <c r="C39" s="247"/>
      <c r="D39" s="329"/>
      <c r="E39" s="329"/>
      <c r="F39" s="248"/>
      <c r="G39" s="247"/>
      <c r="H39" s="329"/>
      <c r="I39" s="329"/>
      <c r="J39" s="248"/>
    </row>
    <row r="40" spans="1:10" s="119" customFormat="1" ht="24" customHeight="1" x14ac:dyDescent="0.25">
      <c r="A40" s="247"/>
      <c r="B40" s="248"/>
      <c r="C40" s="247"/>
      <c r="D40" s="329"/>
      <c r="E40" s="329"/>
      <c r="F40" s="248"/>
      <c r="G40" s="247"/>
      <c r="H40" s="329"/>
      <c r="I40" s="329"/>
      <c r="J40" s="248"/>
    </row>
    <row r="41" spans="1:10" s="119" customFormat="1" ht="24" customHeight="1" x14ac:dyDescent="0.25">
      <c r="A41" s="247"/>
      <c r="B41" s="248"/>
      <c r="C41" s="247"/>
      <c r="D41" s="329"/>
      <c r="E41" s="329"/>
      <c r="F41" s="248"/>
      <c r="G41" s="247"/>
      <c r="H41" s="329"/>
      <c r="I41" s="329"/>
      <c r="J41" s="248"/>
    </row>
    <row r="42" spans="1:10" s="119" customFormat="1" ht="24" customHeight="1" x14ac:dyDescent="0.25">
      <c r="A42" s="247"/>
      <c r="B42" s="248"/>
      <c r="C42" s="247"/>
      <c r="D42" s="329"/>
      <c r="E42" s="329"/>
      <c r="F42" s="248"/>
      <c r="G42" s="247"/>
      <c r="H42" s="329"/>
      <c r="I42" s="329"/>
      <c r="J42" s="248"/>
    </row>
    <row r="43" spans="1:10" s="119" customFormat="1" ht="24" customHeight="1" x14ac:dyDescent="0.25">
      <c r="A43" s="247"/>
      <c r="B43" s="248"/>
      <c r="C43" s="247"/>
      <c r="D43" s="329"/>
      <c r="E43" s="329"/>
      <c r="F43" s="248"/>
      <c r="G43" s="247"/>
      <c r="H43" s="329"/>
      <c r="I43" s="329"/>
      <c r="J43" s="248"/>
    </row>
    <row r="44" spans="1:10" s="119" customFormat="1" ht="24" customHeight="1" x14ac:dyDescent="0.25">
      <c r="A44" s="247"/>
      <c r="B44" s="248"/>
      <c r="C44" s="247"/>
      <c r="D44" s="329"/>
      <c r="E44" s="329"/>
      <c r="F44" s="248"/>
      <c r="G44" s="247"/>
      <c r="H44" s="329"/>
      <c r="I44" s="329"/>
      <c r="J44" s="248"/>
    </row>
    <row r="45" spans="1:10" s="119" customFormat="1" ht="24" customHeight="1" x14ac:dyDescent="0.25">
      <c r="A45" s="247"/>
      <c r="B45" s="248"/>
      <c r="C45" s="247"/>
      <c r="D45" s="329"/>
      <c r="E45" s="329"/>
      <c r="F45" s="248"/>
      <c r="G45" s="247"/>
      <c r="H45" s="329"/>
      <c r="I45" s="329"/>
      <c r="J45" s="248"/>
    </row>
    <row r="46" spans="1:10" s="119" customFormat="1" ht="24" customHeight="1" x14ac:dyDescent="0.25">
      <c r="A46" s="247"/>
      <c r="B46" s="248"/>
      <c r="C46" s="247"/>
      <c r="D46" s="329"/>
      <c r="E46" s="329"/>
      <c r="F46" s="248"/>
      <c r="G46" s="247"/>
      <c r="H46" s="329"/>
      <c r="I46" s="329"/>
      <c r="J46" s="248"/>
    </row>
    <row r="47" spans="1:10" s="119" customFormat="1" ht="24" customHeight="1" x14ac:dyDescent="0.25">
      <c r="A47" s="247"/>
      <c r="B47" s="248"/>
      <c r="C47" s="247"/>
      <c r="D47" s="329"/>
      <c r="E47" s="329"/>
      <c r="F47" s="248"/>
      <c r="G47" s="247"/>
      <c r="H47" s="329"/>
      <c r="I47" s="329"/>
      <c r="J47" s="248"/>
    </row>
    <row r="48" spans="1:10" s="119" customFormat="1" ht="24" customHeight="1" x14ac:dyDescent="0.25">
      <c r="A48" s="247"/>
      <c r="B48" s="248"/>
      <c r="C48" s="247"/>
      <c r="D48" s="329"/>
      <c r="E48" s="329"/>
      <c r="F48" s="248"/>
      <c r="G48" s="247"/>
      <c r="H48" s="329"/>
      <c r="I48" s="329"/>
      <c r="J48" s="248"/>
    </row>
    <row r="49" spans="1:10" s="119" customFormat="1" ht="24" customHeight="1" x14ac:dyDescent="0.25">
      <c r="A49" s="247"/>
      <c r="B49" s="248"/>
      <c r="C49" s="247"/>
      <c r="D49" s="329"/>
      <c r="E49" s="329"/>
      <c r="F49" s="248"/>
      <c r="G49" s="247"/>
      <c r="H49" s="329"/>
      <c r="I49" s="329"/>
      <c r="J49" s="248"/>
    </row>
    <row r="50" spans="1:10" s="119" customFormat="1" ht="24" customHeight="1" x14ac:dyDescent="0.25">
      <c r="A50" s="247"/>
      <c r="B50" s="248"/>
      <c r="C50" s="247"/>
      <c r="D50" s="329"/>
      <c r="E50" s="329"/>
      <c r="F50" s="248"/>
      <c r="G50" s="247"/>
      <c r="H50" s="329"/>
      <c r="I50" s="329"/>
      <c r="J50" s="248"/>
    </row>
    <row r="51" spans="1:10" ht="24" customHeight="1" x14ac:dyDescent="0.25">
      <c r="A51" s="217"/>
      <c r="B51" s="217"/>
      <c r="C51" s="217"/>
      <c r="D51" s="217"/>
      <c r="E51" s="217"/>
      <c r="F51" s="217"/>
      <c r="G51" s="217"/>
      <c r="H51" s="217"/>
      <c r="I51" s="217"/>
      <c r="J51" s="217"/>
    </row>
    <row r="52" spans="1:10" ht="24" customHeight="1" x14ac:dyDescent="0.25">
      <c r="A52" s="217"/>
      <c r="B52" s="217"/>
      <c r="C52" s="217"/>
      <c r="D52" s="217"/>
      <c r="E52" s="217"/>
      <c r="F52" s="217"/>
      <c r="G52" s="217"/>
      <c r="H52" s="217"/>
      <c r="I52" s="217"/>
      <c r="J52" s="217"/>
    </row>
    <row r="53" spans="1:10" ht="24" customHeight="1" x14ac:dyDescent="0.25">
      <c r="A53" s="217"/>
      <c r="B53" s="217"/>
      <c r="C53" s="217"/>
      <c r="D53" s="217"/>
      <c r="E53" s="217"/>
      <c r="F53" s="217"/>
      <c r="G53" s="217"/>
      <c r="H53" s="217"/>
      <c r="I53" s="217"/>
      <c r="J53" s="217"/>
    </row>
    <row r="54" spans="1:10" ht="24" customHeight="1" x14ac:dyDescent="0.25">
      <c r="A54" s="217"/>
      <c r="B54" s="217"/>
      <c r="C54" s="217"/>
      <c r="D54" s="217"/>
      <c r="E54" s="217"/>
      <c r="F54" s="217"/>
      <c r="G54" s="217"/>
      <c r="H54" s="217"/>
      <c r="I54" s="217"/>
      <c r="J54" s="217"/>
    </row>
    <row r="55" spans="1:10" ht="24" customHeight="1" x14ac:dyDescent="0.25">
      <c r="A55" s="217"/>
      <c r="B55" s="217"/>
      <c r="C55" s="217"/>
      <c r="D55" s="217"/>
      <c r="E55" s="217"/>
      <c r="F55" s="217"/>
      <c r="G55" s="217"/>
      <c r="H55" s="217"/>
      <c r="I55" s="217"/>
      <c r="J55" s="217"/>
    </row>
    <row r="56" spans="1:10" ht="24" customHeight="1" x14ac:dyDescent="0.25">
      <c r="A56" s="217"/>
      <c r="B56" s="217"/>
      <c r="C56" s="217"/>
      <c r="D56" s="217"/>
      <c r="E56" s="217"/>
      <c r="F56" s="217"/>
      <c r="G56" s="217"/>
      <c r="H56" s="217"/>
      <c r="I56" s="217"/>
      <c r="J56" s="217"/>
    </row>
    <row r="57" spans="1:10" ht="24" customHeight="1" x14ac:dyDescent="0.25">
      <c r="A57" s="217"/>
      <c r="B57" s="217"/>
      <c r="C57" s="217"/>
      <c r="D57" s="217"/>
      <c r="E57" s="217"/>
      <c r="F57" s="217"/>
      <c r="G57" s="217"/>
      <c r="H57" s="217"/>
      <c r="I57" s="217"/>
      <c r="J57" s="217"/>
    </row>
    <row r="58" spans="1:10" ht="24" customHeight="1" x14ac:dyDescent="0.25">
      <c r="A58" s="217"/>
      <c r="B58" s="217"/>
      <c r="C58" s="217"/>
      <c r="D58" s="217"/>
      <c r="E58" s="217"/>
      <c r="F58" s="217"/>
      <c r="G58" s="217"/>
      <c r="H58" s="217"/>
      <c r="I58" s="217"/>
      <c r="J58" s="217"/>
    </row>
    <row r="59" spans="1:10" ht="24" customHeight="1" x14ac:dyDescent="0.25">
      <c r="A59" s="217"/>
      <c r="B59" s="217"/>
      <c r="C59" s="217"/>
      <c r="D59" s="217"/>
      <c r="E59" s="217"/>
      <c r="F59" s="217"/>
      <c r="G59" s="217"/>
      <c r="H59" s="217"/>
      <c r="I59" s="217"/>
      <c r="J59" s="217"/>
    </row>
    <row r="60" spans="1:10" ht="24" customHeight="1" x14ac:dyDescent="0.25">
      <c r="A60" s="217"/>
      <c r="B60" s="217"/>
      <c r="C60" s="217"/>
      <c r="D60" s="217"/>
      <c r="E60" s="217"/>
      <c r="F60" s="217"/>
      <c r="G60" s="217"/>
      <c r="H60" s="217"/>
      <c r="I60" s="217"/>
      <c r="J60" s="217"/>
    </row>
    <row r="61" spans="1:10" ht="24" customHeight="1" x14ac:dyDescent="0.25">
      <c r="A61" s="217"/>
      <c r="B61" s="217"/>
      <c r="C61" s="217"/>
      <c r="D61" s="217"/>
      <c r="E61" s="217"/>
      <c r="F61" s="217"/>
      <c r="G61" s="217"/>
      <c r="H61" s="217"/>
      <c r="I61" s="217"/>
      <c r="J61" s="217"/>
    </row>
    <row r="62" spans="1:10" ht="24" customHeight="1" x14ac:dyDescent="0.25">
      <c r="A62" s="217"/>
      <c r="B62" s="217"/>
      <c r="C62" s="217"/>
      <c r="D62" s="217"/>
      <c r="E62" s="217"/>
      <c r="F62" s="217"/>
      <c r="G62" s="217"/>
      <c r="H62" s="217"/>
      <c r="I62" s="217"/>
      <c r="J62" s="217"/>
    </row>
    <row r="63" spans="1:10" ht="24" customHeight="1" x14ac:dyDescent="0.25">
      <c r="A63" s="217"/>
      <c r="B63" s="217"/>
      <c r="C63" s="217"/>
      <c r="D63" s="217"/>
      <c r="E63" s="217"/>
      <c r="F63" s="217"/>
      <c r="G63" s="217"/>
      <c r="H63" s="217"/>
      <c r="I63" s="217"/>
      <c r="J63" s="217"/>
    </row>
    <row r="64" spans="1:10" ht="24" customHeight="1" x14ac:dyDescent="0.25">
      <c r="A64" s="217"/>
      <c r="B64" s="217"/>
      <c r="C64" s="217"/>
      <c r="D64" s="217"/>
      <c r="E64" s="217"/>
      <c r="F64" s="217"/>
      <c r="G64" s="217"/>
      <c r="H64" s="217"/>
      <c r="I64" s="217"/>
      <c r="J64" s="217"/>
    </row>
    <row r="65" spans="1:10" ht="24" customHeight="1" x14ac:dyDescent="0.25">
      <c r="A65" s="217"/>
      <c r="B65" s="217"/>
      <c r="C65" s="217"/>
      <c r="D65" s="217"/>
      <c r="E65" s="217"/>
      <c r="F65" s="217"/>
      <c r="G65" s="217"/>
      <c r="H65" s="217"/>
      <c r="I65" s="217"/>
      <c r="J65" s="217"/>
    </row>
    <row r="66" spans="1:10" ht="40.5" customHeight="1" x14ac:dyDescent="0.25">
      <c r="A66" s="208" t="s">
        <v>222</v>
      </c>
      <c r="B66" s="208"/>
      <c r="C66" s="208"/>
      <c r="D66" s="208"/>
      <c r="E66" s="208"/>
      <c r="F66" s="208"/>
      <c r="G66" s="208"/>
      <c r="H66" s="208"/>
      <c r="I66" s="208"/>
      <c r="J66" s="208"/>
    </row>
    <row r="68" spans="1:10" x14ac:dyDescent="0.25">
      <c r="A68" s="210" t="s">
        <v>203</v>
      </c>
      <c r="B68" s="210"/>
      <c r="C68" s="321" t="str">
        <f>C3&amp;"/"&amp;F3</f>
        <v>/</v>
      </c>
      <c r="D68" s="321"/>
      <c r="E68" s="321"/>
      <c r="F68" s="321"/>
      <c r="G68" s="321"/>
    </row>
    <row r="69" spans="1:10" x14ac:dyDescent="0.25">
      <c r="A69" s="85"/>
      <c r="B69" s="85"/>
      <c r="C69" s="73"/>
    </row>
    <row r="70" spans="1:10" x14ac:dyDescent="0.25">
      <c r="A70" s="210" t="s">
        <v>204</v>
      </c>
      <c r="B70" s="210"/>
      <c r="C70" s="321">
        <f>C5</f>
        <v>0</v>
      </c>
      <c r="D70" s="321"/>
      <c r="E70" s="321"/>
      <c r="F70" s="321"/>
      <c r="G70" s="321"/>
    </row>
    <row r="72" spans="1:10" ht="49.5" customHeight="1" x14ac:dyDescent="0.25">
      <c r="A72" s="207" t="s">
        <v>223</v>
      </c>
      <c r="B72" s="207"/>
      <c r="C72" s="207"/>
      <c r="D72" s="207"/>
      <c r="E72" s="207"/>
      <c r="F72" s="207"/>
      <c r="G72" s="207"/>
      <c r="H72" s="207"/>
      <c r="I72" s="207"/>
      <c r="J72" s="207"/>
    </row>
    <row r="73" spans="1:10" ht="45.75" customHeight="1" x14ac:dyDescent="0.25">
      <c r="A73" s="325" t="s">
        <v>224</v>
      </c>
      <c r="B73" s="325"/>
      <c r="C73" s="325" t="s">
        <v>225</v>
      </c>
      <c r="D73" s="325"/>
      <c r="E73" s="325" t="s">
        <v>226</v>
      </c>
      <c r="F73" s="325"/>
      <c r="G73" s="325" t="s">
        <v>227</v>
      </c>
      <c r="H73" s="325"/>
      <c r="I73" s="325" t="s">
        <v>221</v>
      </c>
      <c r="J73" s="325"/>
    </row>
    <row r="74" spans="1:10" ht="115.5" customHeight="1" x14ac:dyDescent="0.25">
      <c r="A74" s="322" t="s">
        <v>228</v>
      </c>
      <c r="B74" s="322"/>
      <c r="C74" s="291" t="s">
        <v>232</v>
      </c>
      <c r="D74" s="291"/>
      <c r="E74" s="291" t="s">
        <v>236</v>
      </c>
      <c r="F74" s="291"/>
      <c r="G74" s="291" t="s">
        <v>237</v>
      </c>
      <c r="H74" s="291"/>
      <c r="I74" s="323"/>
      <c r="J74" s="323"/>
    </row>
    <row r="75" spans="1:10" ht="115.5" customHeight="1" x14ac:dyDescent="0.25">
      <c r="A75" s="322" t="s">
        <v>229</v>
      </c>
      <c r="B75" s="322"/>
      <c r="C75" s="291" t="s">
        <v>233</v>
      </c>
      <c r="D75" s="291"/>
      <c r="E75" s="291" t="s">
        <v>238</v>
      </c>
      <c r="F75" s="291"/>
      <c r="G75" s="291" t="s">
        <v>239</v>
      </c>
      <c r="H75" s="291"/>
      <c r="I75" s="323"/>
      <c r="J75" s="323"/>
    </row>
    <row r="76" spans="1:10" ht="115.5" customHeight="1" x14ac:dyDescent="0.25">
      <c r="A76" s="322" t="s">
        <v>230</v>
      </c>
      <c r="B76" s="322"/>
      <c r="C76" s="291" t="s">
        <v>234</v>
      </c>
      <c r="D76" s="291"/>
      <c r="E76" s="291" t="s">
        <v>240</v>
      </c>
      <c r="F76" s="291"/>
      <c r="G76" s="291" t="s">
        <v>241</v>
      </c>
      <c r="H76" s="291"/>
      <c r="I76" s="323"/>
      <c r="J76" s="323"/>
    </row>
    <row r="77" spans="1:10" ht="115.5" customHeight="1" x14ac:dyDescent="0.25">
      <c r="A77" s="322" t="s">
        <v>231</v>
      </c>
      <c r="B77" s="322"/>
      <c r="C77" s="324" t="s">
        <v>235</v>
      </c>
      <c r="D77" s="324"/>
      <c r="E77" s="291" t="s">
        <v>242</v>
      </c>
      <c r="F77" s="291"/>
      <c r="G77" s="291" t="s">
        <v>243</v>
      </c>
      <c r="H77" s="291"/>
      <c r="I77" s="323"/>
      <c r="J77" s="323"/>
    </row>
    <row r="79" spans="1:10" ht="44.25" customHeight="1" x14ac:dyDescent="0.25">
      <c r="A79" s="208" t="s">
        <v>244</v>
      </c>
      <c r="B79" s="209"/>
      <c r="C79" s="209"/>
      <c r="D79" s="209"/>
      <c r="E79" s="209"/>
      <c r="F79" s="209"/>
      <c r="G79" s="209"/>
      <c r="H79" s="209"/>
      <c r="I79" s="209"/>
      <c r="J79" s="209"/>
    </row>
    <row r="80" spans="1:10" ht="10.5" customHeight="1" x14ac:dyDescent="0.25"/>
    <row r="81" spans="1:10" x14ac:dyDescent="0.25">
      <c r="A81" s="210" t="s">
        <v>203</v>
      </c>
      <c r="B81" s="210"/>
      <c r="C81" s="321" t="str">
        <f>C3&amp;"/"&amp;F3</f>
        <v>/</v>
      </c>
      <c r="D81" s="321"/>
      <c r="E81" s="321"/>
      <c r="F81" s="321"/>
      <c r="G81" s="321"/>
    </row>
    <row r="82" spans="1:10" x14ac:dyDescent="0.25">
      <c r="A82" s="210" t="s">
        <v>204</v>
      </c>
      <c r="B82" s="210"/>
      <c r="C82" s="321">
        <f>C5</f>
        <v>0</v>
      </c>
      <c r="D82" s="321"/>
      <c r="E82" s="321"/>
      <c r="F82" s="321"/>
      <c r="G82" s="321"/>
    </row>
    <row r="83" spans="1:10" x14ac:dyDescent="0.25">
      <c r="A83" s="210" t="s">
        <v>205</v>
      </c>
      <c r="B83" s="210"/>
      <c r="C83" s="321">
        <f>C7</f>
        <v>0</v>
      </c>
      <c r="D83" s="321"/>
      <c r="E83" s="321"/>
      <c r="F83" s="321"/>
      <c r="G83" s="321"/>
    </row>
    <row r="84" spans="1:10" ht="10.5" customHeight="1" x14ac:dyDescent="0.25"/>
    <row r="85" spans="1:10" x14ac:dyDescent="0.25">
      <c r="A85" s="316" t="s">
        <v>245</v>
      </c>
      <c r="B85" s="316"/>
      <c r="C85" s="316" t="s">
        <v>246</v>
      </c>
      <c r="D85" s="316"/>
      <c r="E85" s="316"/>
      <c r="F85" s="316"/>
      <c r="G85" s="316"/>
      <c r="H85" s="316"/>
      <c r="I85" s="316"/>
      <c r="J85" s="316"/>
    </row>
    <row r="86" spans="1:10" x14ac:dyDescent="0.25">
      <c r="A86" s="317" t="s">
        <v>252</v>
      </c>
      <c r="B86" s="317"/>
      <c r="C86" s="101"/>
      <c r="D86" s="318" t="s">
        <v>247</v>
      </c>
      <c r="E86" s="318"/>
      <c r="F86" s="318"/>
      <c r="G86" s="318"/>
      <c r="H86" s="318"/>
      <c r="I86" s="318"/>
      <c r="J86" s="318"/>
    </row>
    <row r="87" spans="1:10" s="78" customFormat="1" ht="39.75" customHeight="1" x14ac:dyDescent="0.25">
      <c r="A87" s="317"/>
      <c r="B87" s="317"/>
      <c r="C87" s="101"/>
      <c r="D87" s="319" t="s">
        <v>248</v>
      </c>
      <c r="E87" s="319"/>
      <c r="F87" s="319"/>
      <c r="G87" s="319"/>
      <c r="H87" s="319"/>
      <c r="I87" s="319"/>
      <c r="J87" s="319"/>
    </row>
    <row r="88" spans="1:10" ht="32.25" customHeight="1" x14ac:dyDescent="0.25">
      <c r="A88" s="317"/>
      <c r="B88" s="317"/>
      <c r="C88" s="101"/>
      <c r="D88" s="319" t="s">
        <v>249</v>
      </c>
      <c r="E88" s="319"/>
      <c r="F88" s="319"/>
      <c r="G88" s="319"/>
      <c r="H88" s="319"/>
      <c r="I88" s="319"/>
      <c r="J88" s="319"/>
    </row>
    <row r="89" spans="1:10" x14ac:dyDescent="0.25">
      <c r="A89" s="317"/>
      <c r="B89" s="317"/>
      <c r="C89" s="101"/>
      <c r="D89" s="320" t="s">
        <v>250</v>
      </c>
      <c r="E89" s="320"/>
      <c r="F89" s="320"/>
      <c r="G89" s="320"/>
      <c r="H89" s="320"/>
      <c r="I89" s="320"/>
      <c r="J89" s="320"/>
    </row>
    <row r="90" spans="1:10" x14ac:dyDescent="0.25">
      <c r="A90" s="317"/>
      <c r="B90" s="317"/>
      <c r="C90" s="312" t="s">
        <v>251</v>
      </c>
      <c r="D90" s="312"/>
      <c r="E90" s="354"/>
      <c r="F90" s="354"/>
      <c r="G90" s="354"/>
      <c r="H90" s="354"/>
      <c r="I90" s="354"/>
      <c r="J90" s="354"/>
    </row>
    <row r="91" spans="1:10" ht="28.5" customHeight="1" x14ac:dyDescent="0.25">
      <c r="A91" s="317" t="s">
        <v>257</v>
      </c>
      <c r="B91" s="317"/>
      <c r="C91" s="101"/>
      <c r="D91" s="319" t="s">
        <v>253</v>
      </c>
      <c r="E91" s="319"/>
      <c r="F91" s="319"/>
      <c r="G91" s="319"/>
      <c r="H91" s="319"/>
      <c r="I91" s="319"/>
      <c r="J91" s="319"/>
    </row>
    <row r="92" spans="1:10" x14ac:dyDescent="0.25">
      <c r="A92" s="317"/>
      <c r="B92" s="317"/>
      <c r="C92" s="101"/>
      <c r="D92" s="319" t="s">
        <v>254</v>
      </c>
      <c r="E92" s="319"/>
      <c r="F92" s="319"/>
      <c r="G92" s="319"/>
      <c r="H92" s="319"/>
      <c r="I92" s="319"/>
      <c r="J92" s="319"/>
    </row>
    <row r="93" spans="1:10" ht="27.75" customHeight="1" x14ac:dyDescent="0.25">
      <c r="A93" s="317"/>
      <c r="B93" s="317"/>
      <c r="C93" s="101"/>
      <c r="D93" s="319" t="s">
        <v>255</v>
      </c>
      <c r="E93" s="319"/>
      <c r="F93" s="319"/>
      <c r="G93" s="319"/>
      <c r="H93" s="319"/>
      <c r="I93" s="319"/>
      <c r="J93" s="319"/>
    </row>
    <row r="94" spans="1:10" ht="28.5" customHeight="1" x14ac:dyDescent="0.25">
      <c r="A94" s="317"/>
      <c r="B94" s="317"/>
      <c r="C94" s="101"/>
      <c r="D94" s="319" t="s">
        <v>256</v>
      </c>
      <c r="E94" s="319"/>
      <c r="F94" s="319"/>
      <c r="G94" s="319"/>
      <c r="H94" s="319"/>
      <c r="I94" s="319"/>
      <c r="J94" s="319"/>
    </row>
    <row r="95" spans="1:10" x14ac:dyDescent="0.25">
      <c r="A95" s="317"/>
      <c r="B95" s="317"/>
      <c r="C95" s="312" t="s">
        <v>251</v>
      </c>
      <c r="D95" s="312"/>
      <c r="E95" s="354"/>
      <c r="F95" s="354"/>
      <c r="G95" s="354"/>
      <c r="H95" s="354"/>
      <c r="I95" s="354"/>
      <c r="J95" s="354"/>
    </row>
    <row r="96" spans="1:10" x14ac:dyDescent="0.25">
      <c r="A96" s="317" t="s">
        <v>258</v>
      </c>
      <c r="B96" s="317"/>
      <c r="C96" s="101"/>
      <c r="D96" s="318" t="s">
        <v>259</v>
      </c>
      <c r="E96" s="318"/>
      <c r="F96" s="318"/>
      <c r="G96" s="318"/>
      <c r="H96" s="318"/>
      <c r="I96" s="318"/>
      <c r="J96" s="318"/>
    </row>
    <row r="97" spans="1:10" ht="27.75" customHeight="1" x14ac:dyDescent="0.25">
      <c r="A97" s="317"/>
      <c r="B97" s="317"/>
      <c r="C97" s="101"/>
      <c r="D97" s="319" t="s">
        <v>260</v>
      </c>
      <c r="E97" s="319"/>
      <c r="F97" s="319"/>
      <c r="G97" s="319"/>
      <c r="H97" s="319"/>
      <c r="I97" s="319"/>
      <c r="J97" s="319"/>
    </row>
    <row r="98" spans="1:10" ht="15.75" customHeight="1" x14ac:dyDescent="0.25">
      <c r="A98" s="317"/>
      <c r="B98" s="317"/>
      <c r="C98" s="101"/>
      <c r="D98" s="319" t="s">
        <v>261</v>
      </c>
      <c r="E98" s="319"/>
      <c r="F98" s="319"/>
      <c r="G98" s="319"/>
      <c r="H98" s="319"/>
      <c r="I98" s="319"/>
      <c r="J98" s="319"/>
    </row>
    <row r="99" spans="1:10" ht="24" customHeight="1" x14ac:dyDescent="0.25">
      <c r="A99" s="317"/>
      <c r="B99" s="317"/>
      <c r="C99" s="101"/>
      <c r="D99" s="319" t="s">
        <v>262</v>
      </c>
      <c r="E99" s="319"/>
      <c r="F99" s="319"/>
      <c r="G99" s="319"/>
      <c r="H99" s="319"/>
      <c r="I99" s="319"/>
      <c r="J99" s="319"/>
    </row>
    <row r="100" spans="1:10" ht="35.25" customHeight="1" x14ac:dyDescent="0.25">
      <c r="A100" s="317"/>
      <c r="B100" s="317"/>
      <c r="C100" s="101"/>
      <c r="D100" s="319" t="s">
        <v>263</v>
      </c>
      <c r="E100" s="319"/>
      <c r="F100" s="319"/>
      <c r="G100" s="319"/>
      <c r="H100" s="319"/>
      <c r="I100" s="319"/>
      <c r="J100" s="319"/>
    </row>
    <row r="101" spans="1:10" x14ac:dyDescent="0.25">
      <c r="A101" s="317"/>
      <c r="B101" s="317"/>
      <c r="C101" s="312" t="s">
        <v>251</v>
      </c>
      <c r="D101" s="312"/>
      <c r="E101" s="354"/>
      <c r="F101" s="354"/>
      <c r="G101" s="354"/>
      <c r="H101" s="354"/>
      <c r="I101" s="354"/>
      <c r="J101" s="354"/>
    </row>
    <row r="104" spans="1:10" x14ac:dyDescent="0.25">
      <c r="A104" s="96"/>
      <c r="B104" s="310" t="s">
        <v>264</v>
      </c>
      <c r="C104" s="310"/>
      <c r="D104" s="310"/>
      <c r="E104" s="310"/>
      <c r="F104" s="310"/>
      <c r="G104" s="310"/>
      <c r="H104" s="310"/>
      <c r="I104" s="310"/>
      <c r="J104" s="310"/>
    </row>
    <row r="105" spans="1:10" x14ac:dyDescent="0.25">
      <c r="B105" s="80"/>
      <c r="C105" s="80"/>
      <c r="D105" s="80"/>
      <c r="E105" s="80"/>
      <c r="F105" s="80"/>
      <c r="G105" s="80"/>
      <c r="H105" s="80"/>
      <c r="I105" s="80"/>
      <c r="J105" s="80"/>
    </row>
    <row r="106" spans="1:10" x14ac:dyDescent="0.25">
      <c r="A106" s="96"/>
      <c r="B106" s="311" t="s">
        <v>265</v>
      </c>
      <c r="C106" s="310"/>
      <c r="D106" s="310"/>
      <c r="E106" s="310"/>
      <c r="F106" s="310"/>
      <c r="G106" s="310"/>
      <c r="H106" s="310"/>
      <c r="I106" s="310"/>
      <c r="J106" s="310"/>
    </row>
    <row r="108" spans="1:10" x14ac:dyDescent="0.25">
      <c r="A108" s="187" t="s">
        <v>266</v>
      </c>
      <c r="B108" s="187"/>
      <c r="C108" s="187"/>
      <c r="D108" s="268"/>
      <c r="E108" s="268"/>
      <c r="F108" s="268"/>
      <c r="H108" t="s">
        <v>267</v>
      </c>
      <c r="I108" s="268"/>
      <c r="J108" s="268"/>
    </row>
    <row r="110" spans="1:10" x14ac:dyDescent="0.25">
      <c r="A110" s="187" t="s">
        <v>268</v>
      </c>
      <c r="B110" s="187"/>
      <c r="C110" s="187"/>
      <c r="D110" s="268"/>
      <c r="E110" s="268"/>
      <c r="F110" s="268"/>
      <c r="H110" t="s">
        <v>267</v>
      </c>
      <c r="I110" s="268"/>
      <c r="J110" s="268"/>
    </row>
    <row r="115" spans="1:10" ht="40.5" customHeight="1" x14ac:dyDescent="0.25">
      <c r="A115" s="208" t="s">
        <v>293</v>
      </c>
      <c r="B115" s="209"/>
      <c r="C115" s="209"/>
      <c r="D115" s="209"/>
      <c r="E115" s="209"/>
      <c r="F115" s="209"/>
      <c r="G115" s="209"/>
      <c r="H115" s="209"/>
      <c r="I115" s="209"/>
      <c r="J115" s="209"/>
    </row>
    <row r="117" spans="1:10" x14ac:dyDescent="0.25">
      <c r="A117" s="293" t="s">
        <v>269</v>
      </c>
      <c r="B117" s="293"/>
      <c r="C117" s="293"/>
      <c r="D117" s="293"/>
      <c r="E117" s="81"/>
      <c r="F117" s="285">
        <f>C5</f>
        <v>0</v>
      </c>
      <c r="G117" s="285"/>
      <c r="H117" s="285"/>
      <c r="I117" s="285"/>
      <c r="J117" s="286"/>
    </row>
    <row r="118" spans="1:10" x14ac:dyDescent="0.25">
      <c r="A118" s="293" t="s">
        <v>270</v>
      </c>
      <c r="B118" s="293"/>
      <c r="C118" s="293"/>
      <c r="D118" s="293"/>
      <c r="E118" s="81"/>
      <c r="F118" s="285">
        <f>C3</f>
        <v>0</v>
      </c>
      <c r="G118" s="285"/>
      <c r="H118" s="285"/>
      <c r="I118" s="285"/>
      <c r="J118" s="286"/>
    </row>
    <row r="119" spans="1:10" x14ac:dyDescent="0.25">
      <c r="A119" s="293" t="s">
        <v>271</v>
      </c>
      <c r="B119" s="293"/>
      <c r="C119" s="293"/>
      <c r="D119" s="293"/>
      <c r="E119" s="81"/>
      <c r="F119" s="285">
        <f>F3</f>
        <v>0</v>
      </c>
      <c r="G119" s="285"/>
      <c r="H119" s="285"/>
      <c r="I119" s="285"/>
      <c r="J119" s="286"/>
    </row>
    <row r="120" spans="1:10" ht="48" customHeight="1" x14ac:dyDescent="0.25">
      <c r="A120" s="291" t="s">
        <v>272</v>
      </c>
      <c r="B120" s="291"/>
      <c r="C120" s="291"/>
      <c r="D120" s="291"/>
      <c r="E120" s="81"/>
      <c r="F120" s="294"/>
      <c r="G120" s="294"/>
      <c r="H120" s="82" t="s">
        <v>278</v>
      </c>
      <c r="I120" s="294"/>
      <c r="J120" s="295"/>
    </row>
    <row r="121" spans="1:10" ht="31.5" customHeight="1" x14ac:dyDescent="0.25">
      <c r="A121" s="291" t="s">
        <v>273</v>
      </c>
      <c r="B121" s="291"/>
      <c r="C121" s="291"/>
      <c r="D121" s="291"/>
      <c r="E121" s="89"/>
      <c r="F121" s="364"/>
      <c r="G121" s="364"/>
      <c r="H121" s="364"/>
      <c r="I121" s="364"/>
      <c r="J121" s="364"/>
    </row>
    <row r="122" spans="1:10" x14ac:dyDescent="0.25">
      <c r="A122" s="296" t="s">
        <v>274</v>
      </c>
      <c r="B122" s="297"/>
      <c r="C122" s="297"/>
      <c r="D122" s="298"/>
      <c r="E122" s="365" t="s">
        <v>279</v>
      </c>
      <c r="F122" s="365"/>
      <c r="G122" s="365"/>
      <c r="H122" s="365"/>
      <c r="I122" s="365"/>
      <c r="J122" s="365"/>
    </row>
    <row r="123" spans="1:10" x14ac:dyDescent="0.25">
      <c r="A123" s="299"/>
      <c r="B123" s="300"/>
      <c r="C123" s="300"/>
      <c r="D123" s="301"/>
      <c r="E123" s="101"/>
      <c r="F123" s="365" t="s">
        <v>280</v>
      </c>
      <c r="G123" s="365"/>
      <c r="H123" s="365"/>
      <c r="I123" s="365"/>
      <c r="J123" s="365"/>
    </row>
    <row r="124" spans="1:10" x14ac:dyDescent="0.25">
      <c r="A124" s="299"/>
      <c r="B124" s="300"/>
      <c r="C124" s="300"/>
      <c r="D124" s="301"/>
      <c r="E124" s="101"/>
      <c r="F124" s="365" t="s">
        <v>281</v>
      </c>
      <c r="G124" s="365"/>
      <c r="H124" s="365"/>
      <c r="I124" s="365"/>
      <c r="J124" s="365"/>
    </row>
    <row r="125" spans="1:10" x14ac:dyDescent="0.25">
      <c r="A125" s="299"/>
      <c r="B125" s="300"/>
      <c r="C125" s="300"/>
      <c r="D125" s="301"/>
      <c r="E125" s="101"/>
      <c r="F125" s="365" t="s">
        <v>282</v>
      </c>
      <c r="G125" s="365"/>
      <c r="H125" s="365"/>
      <c r="I125" s="365"/>
      <c r="J125" s="365"/>
    </row>
    <row r="126" spans="1:10" ht="45.75" customHeight="1" x14ac:dyDescent="0.25">
      <c r="A126" s="299"/>
      <c r="B126" s="300"/>
      <c r="C126" s="300"/>
      <c r="D126" s="301"/>
      <c r="E126" s="133" t="s">
        <v>283</v>
      </c>
      <c r="F126" s="274"/>
      <c r="G126" s="274"/>
      <c r="H126" s="274"/>
      <c r="I126" s="274"/>
      <c r="J126" s="274"/>
    </row>
    <row r="127" spans="1:10" x14ac:dyDescent="0.25">
      <c r="A127" s="296" t="s">
        <v>275</v>
      </c>
      <c r="B127" s="297"/>
      <c r="C127" s="297"/>
      <c r="D127" s="298"/>
      <c r="E127" s="101"/>
      <c r="F127" s="350" t="s">
        <v>285</v>
      </c>
      <c r="G127" s="350"/>
      <c r="H127" s="350"/>
      <c r="I127" s="350"/>
      <c r="J127" s="350"/>
    </row>
    <row r="128" spans="1:10" ht="48" customHeight="1" x14ac:dyDescent="0.25">
      <c r="A128" s="299"/>
      <c r="B128" s="300"/>
      <c r="C128" s="300"/>
      <c r="D128" s="301"/>
      <c r="E128" s="101"/>
      <c r="F128" s="351" t="s">
        <v>286</v>
      </c>
      <c r="G128" s="351"/>
      <c r="H128" s="351"/>
      <c r="I128" s="351"/>
      <c r="J128" s="351"/>
    </row>
    <row r="129" spans="1:10" ht="45.75" customHeight="1" x14ac:dyDescent="0.25">
      <c r="A129" s="305"/>
      <c r="B129" s="306"/>
      <c r="C129" s="306"/>
      <c r="D129" s="307"/>
      <c r="E129" s="133" t="s">
        <v>283</v>
      </c>
      <c r="F129" s="274"/>
      <c r="G129" s="274"/>
      <c r="H129" s="274"/>
      <c r="I129" s="274"/>
      <c r="J129" s="274"/>
    </row>
    <row r="130" spans="1:10" ht="47.25" customHeight="1" x14ac:dyDescent="0.25">
      <c r="A130" s="275" t="s">
        <v>276</v>
      </c>
      <c r="B130" s="276"/>
      <c r="C130" s="276"/>
      <c r="D130" s="277"/>
      <c r="E130" s="89"/>
      <c r="F130" s="274"/>
      <c r="G130" s="274"/>
      <c r="H130" s="274"/>
      <c r="I130" s="274"/>
      <c r="J130" s="274"/>
    </row>
    <row r="131" spans="1:10" ht="25.5" customHeight="1" x14ac:dyDescent="0.25">
      <c r="A131" s="296" t="s">
        <v>284</v>
      </c>
      <c r="B131" s="297"/>
      <c r="C131" s="297"/>
      <c r="D131" s="298"/>
      <c r="E131" s="344" t="s">
        <v>287</v>
      </c>
      <c r="F131" s="344"/>
      <c r="G131" s="344"/>
      <c r="H131" s="344"/>
      <c r="I131" s="344"/>
      <c r="J131" s="344"/>
    </row>
    <row r="132" spans="1:10" x14ac:dyDescent="0.25">
      <c r="A132" s="299"/>
      <c r="B132" s="300"/>
      <c r="C132" s="300"/>
      <c r="D132" s="301"/>
      <c r="E132" s="101"/>
      <c r="F132" s="366" t="s">
        <v>288</v>
      </c>
      <c r="G132" s="366"/>
      <c r="H132" s="366"/>
      <c r="I132" s="366"/>
      <c r="J132" s="366"/>
    </row>
    <row r="133" spans="1:10" x14ac:dyDescent="0.25">
      <c r="A133" s="299"/>
      <c r="B133" s="300"/>
      <c r="C133" s="300"/>
      <c r="D133" s="301"/>
      <c r="E133" s="101"/>
      <c r="F133" s="366" t="s">
        <v>289</v>
      </c>
      <c r="G133" s="366"/>
      <c r="H133" s="366"/>
      <c r="I133" s="366"/>
      <c r="J133" s="366"/>
    </row>
    <row r="134" spans="1:10" x14ac:dyDescent="0.25">
      <c r="A134" s="299"/>
      <c r="B134" s="300"/>
      <c r="C134" s="300"/>
      <c r="D134" s="301"/>
      <c r="E134" s="101"/>
      <c r="F134" s="366" t="s">
        <v>290</v>
      </c>
      <c r="G134" s="366"/>
      <c r="H134" s="366"/>
      <c r="I134" s="366"/>
      <c r="J134" s="366"/>
    </row>
    <row r="135" spans="1:10" x14ac:dyDescent="0.25">
      <c r="A135" s="299"/>
      <c r="B135" s="300"/>
      <c r="C135" s="300"/>
      <c r="D135" s="301"/>
      <c r="E135" s="101"/>
      <c r="F135" s="366" t="s">
        <v>291</v>
      </c>
      <c r="G135" s="366"/>
      <c r="H135" s="366"/>
      <c r="I135" s="366"/>
      <c r="J135" s="366"/>
    </row>
    <row r="136" spans="1:10" ht="45.75" customHeight="1" x14ac:dyDescent="0.25">
      <c r="A136" s="305"/>
      <c r="B136" s="306"/>
      <c r="C136" s="306"/>
      <c r="D136" s="307"/>
      <c r="E136" s="133" t="s">
        <v>283</v>
      </c>
      <c r="F136" s="274"/>
      <c r="G136" s="274"/>
      <c r="H136" s="274"/>
      <c r="I136" s="274"/>
      <c r="J136" s="274"/>
    </row>
    <row r="137" spans="1:10" ht="45.75" customHeight="1" x14ac:dyDescent="0.25">
      <c r="A137" s="291" t="s">
        <v>277</v>
      </c>
      <c r="B137" s="291"/>
      <c r="C137" s="291"/>
      <c r="D137" s="291"/>
      <c r="E137" s="89"/>
      <c r="F137" s="364"/>
      <c r="G137" s="364"/>
      <c r="H137" s="364"/>
      <c r="I137" s="364"/>
      <c r="J137" s="364"/>
    </row>
    <row r="143" spans="1:10" ht="42" customHeight="1" x14ac:dyDescent="0.25">
      <c r="A143" s="208" t="s">
        <v>294</v>
      </c>
      <c r="B143" s="209"/>
      <c r="C143" s="209"/>
      <c r="D143" s="209"/>
      <c r="E143" s="209"/>
      <c r="F143" s="209"/>
      <c r="G143" s="209"/>
      <c r="H143" s="209"/>
      <c r="I143" s="209"/>
      <c r="J143" s="209"/>
    </row>
    <row r="145" spans="1:10" x14ac:dyDescent="0.25">
      <c r="A145" s="210" t="s">
        <v>203</v>
      </c>
      <c r="B145" s="210"/>
      <c r="C145" s="321" t="str">
        <f>C3&amp;"/"&amp;F3</f>
        <v>/</v>
      </c>
      <c r="D145" s="321"/>
      <c r="E145" s="321"/>
      <c r="F145" s="321"/>
      <c r="G145" s="212" t="s">
        <v>295</v>
      </c>
      <c r="H145" s="212"/>
      <c r="I145" s="212"/>
      <c r="J145" s="102">
        <f>'SGO #2(Tiered or Simple)'!D20</f>
        <v>0</v>
      </c>
    </row>
    <row r="146" spans="1:10" x14ac:dyDescent="0.25">
      <c r="A146" s="210" t="s">
        <v>204</v>
      </c>
      <c r="B146" s="210"/>
      <c r="C146" s="284">
        <f>C5</f>
        <v>0</v>
      </c>
      <c r="D146" s="284"/>
      <c r="E146" s="284"/>
      <c r="F146" s="284"/>
      <c r="G146" s="84"/>
      <c r="H146" s="77"/>
      <c r="I146" s="77"/>
    </row>
    <row r="147" spans="1:10" x14ac:dyDescent="0.25">
      <c r="A147" s="210" t="s">
        <v>205</v>
      </c>
      <c r="B147" s="210"/>
      <c r="C147" s="284">
        <f>C7</f>
        <v>0</v>
      </c>
      <c r="D147" s="284"/>
      <c r="E147" s="284"/>
      <c r="F147" s="284"/>
      <c r="G147" s="84"/>
      <c r="H147" s="77"/>
      <c r="I147" s="77"/>
    </row>
    <row r="148" spans="1:10" x14ac:dyDescent="0.25">
      <c r="G148" s="77"/>
      <c r="H148" s="77"/>
      <c r="I148" s="77"/>
    </row>
    <row r="149" spans="1:10" ht="27.75" customHeight="1" x14ac:dyDescent="0.25">
      <c r="A149" s="283" t="s">
        <v>296</v>
      </c>
      <c r="B149" s="283"/>
      <c r="C149" s="283"/>
      <c r="D149" s="283" t="s">
        <v>297</v>
      </c>
      <c r="E149" s="283"/>
      <c r="F149" s="283"/>
      <c r="G149" s="283" t="s">
        <v>298</v>
      </c>
      <c r="H149" s="283"/>
      <c r="I149" s="283"/>
      <c r="J149" s="283"/>
    </row>
    <row r="150" spans="1:10" ht="80.25" customHeight="1" x14ac:dyDescent="0.25">
      <c r="A150" s="270" t="s">
        <v>299</v>
      </c>
      <c r="B150" s="271"/>
      <c r="C150" s="271"/>
      <c r="D150" s="272" t="str">
        <f>IF('SGO #2(Tiered or Simple)'!D17=0,"",'SGO #2(Tiered or Simple)'!E17)</f>
        <v/>
      </c>
      <c r="E150" s="273"/>
      <c r="F150" s="273"/>
      <c r="G150" s="274"/>
      <c r="H150" s="274"/>
      <c r="I150" s="274"/>
      <c r="J150" s="274"/>
    </row>
    <row r="151" spans="1:10" ht="80.25" customHeight="1" x14ac:dyDescent="0.25">
      <c r="A151" s="270" t="s">
        <v>300</v>
      </c>
      <c r="B151" s="271"/>
      <c r="C151" s="271"/>
      <c r="D151" s="272" t="str">
        <f>IF('SGO #2(Tiered or Simple)'!D14=0,"",'SGO #2(Tiered or Simple)'!E14)</f>
        <v/>
      </c>
      <c r="E151" s="273"/>
      <c r="F151" s="273"/>
      <c r="G151" s="274"/>
      <c r="H151" s="274"/>
      <c r="I151" s="274"/>
      <c r="J151" s="274"/>
    </row>
    <row r="152" spans="1:10" ht="80.25" customHeight="1" x14ac:dyDescent="0.25">
      <c r="A152" s="270" t="s">
        <v>344</v>
      </c>
      <c r="B152" s="271"/>
      <c r="C152" s="271"/>
      <c r="D152" s="272" t="str">
        <f>IF('SGO #2(Tiered or Simple)'!D11=0,"",'SGO #2(Tiered or Simple)'!E11)</f>
        <v/>
      </c>
      <c r="E152" s="273"/>
      <c r="F152" s="273"/>
      <c r="G152" s="274"/>
      <c r="H152" s="274"/>
      <c r="I152" s="274"/>
      <c r="J152" s="274"/>
    </row>
    <row r="154" spans="1:10" x14ac:dyDescent="0.25">
      <c r="A154" s="210" t="s">
        <v>301</v>
      </c>
      <c r="B154" s="210"/>
      <c r="C154" s="210"/>
      <c r="D154" s="210"/>
      <c r="E154" s="210"/>
      <c r="F154" s="210"/>
      <c r="G154" s="210"/>
      <c r="H154" s="210"/>
      <c r="I154" s="210"/>
      <c r="J154" s="210"/>
    </row>
    <row r="155" spans="1:10" x14ac:dyDescent="0.25">
      <c r="A155" s="210" t="s">
        <v>302</v>
      </c>
      <c r="B155" s="210"/>
      <c r="C155" s="210"/>
      <c r="D155" s="210"/>
      <c r="E155" s="210"/>
      <c r="F155" s="210"/>
      <c r="G155" s="210"/>
      <c r="H155" s="210"/>
      <c r="I155" s="210"/>
      <c r="J155" s="210"/>
    </row>
    <row r="156" spans="1:10" ht="48.75" customHeight="1" x14ac:dyDescent="0.25">
      <c r="A156" s="265" t="s">
        <v>303</v>
      </c>
      <c r="B156" s="266"/>
      <c r="C156" s="266"/>
      <c r="D156" s="266"/>
      <c r="E156" s="266"/>
      <c r="F156" s="266"/>
      <c r="G156" s="266"/>
      <c r="H156" s="266"/>
      <c r="I156" s="266"/>
      <c r="J156" s="266"/>
    </row>
    <row r="158" spans="1:10" x14ac:dyDescent="0.25">
      <c r="A158" s="264" t="s">
        <v>304</v>
      </c>
      <c r="B158" s="264"/>
      <c r="C158" s="264"/>
      <c r="D158" s="264"/>
      <c r="E158" s="264"/>
      <c r="F158" s="264"/>
      <c r="G158" s="264"/>
      <c r="H158" s="264"/>
      <c r="I158" s="264"/>
      <c r="J158" s="264"/>
    </row>
    <row r="159" spans="1:10" ht="53.25" customHeight="1" x14ac:dyDescent="0.25">
      <c r="A159" s="265" t="s">
        <v>305</v>
      </c>
      <c r="B159" s="266"/>
      <c r="C159" s="266"/>
      <c r="D159" s="266"/>
      <c r="E159" s="266"/>
      <c r="F159" s="266"/>
      <c r="G159" s="266"/>
      <c r="H159" s="266"/>
      <c r="I159" s="266"/>
      <c r="J159" s="266"/>
    </row>
    <row r="161" spans="1:10" x14ac:dyDescent="0.25">
      <c r="A161" s="101"/>
      <c r="B161" s="267" t="s">
        <v>306</v>
      </c>
      <c r="C161" s="266"/>
      <c r="D161" s="266"/>
      <c r="E161" s="266"/>
      <c r="F161" s="266"/>
      <c r="G161" s="266"/>
      <c r="H161" s="266"/>
      <c r="I161" s="266"/>
      <c r="J161" s="266"/>
    </row>
    <row r="163" spans="1:10" x14ac:dyDescent="0.25">
      <c r="A163" s="187" t="s">
        <v>266</v>
      </c>
      <c r="B163" s="187"/>
      <c r="C163" s="187"/>
      <c r="D163" s="268"/>
      <c r="E163" s="268"/>
      <c r="F163" s="268"/>
      <c r="H163" t="s">
        <v>267</v>
      </c>
      <c r="I163" s="268"/>
      <c r="J163" s="268"/>
    </row>
    <row r="165" spans="1:10" x14ac:dyDescent="0.25">
      <c r="A165" s="187" t="s">
        <v>268</v>
      </c>
      <c r="B165" s="187"/>
      <c r="C165" s="187"/>
      <c r="D165" s="268"/>
      <c r="E165" s="268"/>
      <c r="F165" s="268"/>
      <c r="H165" t="s">
        <v>267</v>
      </c>
      <c r="I165" s="268"/>
      <c r="J165" s="268"/>
    </row>
    <row r="169" spans="1:10" ht="42" customHeight="1" x14ac:dyDescent="0.25">
      <c r="A169" s="208" t="s">
        <v>307</v>
      </c>
      <c r="B169" s="209"/>
      <c r="C169" s="209"/>
      <c r="D169" s="209"/>
      <c r="E169" s="209"/>
      <c r="F169" s="209"/>
      <c r="G169" s="209"/>
      <c r="H169" s="209"/>
      <c r="I169" s="209"/>
      <c r="J169" s="209"/>
    </row>
    <row r="171" spans="1:10" x14ac:dyDescent="0.25">
      <c r="A171" s="233" t="s">
        <v>308</v>
      </c>
      <c r="B171" s="233"/>
      <c r="C171" s="233" t="s">
        <v>270</v>
      </c>
      <c r="D171" s="233"/>
      <c r="E171" s="233" t="s">
        <v>309</v>
      </c>
      <c r="F171" s="233"/>
      <c r="G171" s="233"/>
      <c r="H171" s="233" t="s">
        <v>310</v>
      </c>
      <c r="I171" s="233"/>
      <c r="J171" s="233"/>
    </row>
    <row r="172" spans="1:10" x14ac:dyDescent="0.25">
      <c r="A172" s="344">
        <f>C3</f>
        <v>0</v>
      </c>
      <c r="B172" s="344"/>
      <c r="C172" s="344">
        <f>F3</f>
        <v>0</v>
      </c>
      <c r="D172" s="344"/>
      <c r="E172" s="220">
        <f>J145</f>
        <v>0</v>
      </c>
      <c r="F172" s="220"/>
      <c r="G172" s="220"/>
      <c r="H172" s="88" t="s">
        <v>311</v>
      </c>
      <c r="I172" s="101"/>
      <c r="J172" s="88"/>
    </row>
    <row r="173" spans="1:10" x14ac:dyDescent="0.25">
      <c r="A173" s="344"/>
      <c r="B173" s="344"/>
      <c r="C173" s="344"/>
      <c r="D173" s="344"/>
      <c r="E173" s="220"/>
      <c r="F173" s="220"/>
      <c r="G173" s="220"/>
      <c r="H173" s="88" t="s">
        <v>312</v>
      </c>
      <c r="I173" s="101"/>
      <c r="J173" s="88"/>
    </row>
    <row r="174" spans="1:10" x14ac:dyDescent="0.25">
      <c r="A174" s="344"/>
      <c r="B174" s="344"/>
      <c r="C174" s="344"/>
      <c r="D174" s="344"/>
      <c r="E174" s="220"/>
      <c r="F174" s="220"/>
      <c r="G174" s="220"/>
      <c r="H174" s="88" t="s">
        <v>283</v>
      </c>
      <c r="I174" s="217"/>
      <c r="J174" s="217"/>
    </row>
    <row r="175" spans="1:10" x14ac:dyDescent="0.25">
      <c r="A175" s="234" t="s">
        <v>313</v>
      </c>
      <c r="B175" s="234"/>
      <c r="C175" s="217"/>
      <c r="D175" s="217"/>
      <c r="E175" s="217"/>
      <c r="F175" s="217"/>
      <c r="G175" s="217"/>
      <c r="H175" s="234" t="s">
        <v>315</v>
      </c>
      <c r="I175" s="79" t="s">
        <v>316</v>
      </c>
      <c r="J175" s="101"/>
    </row>
    <row r="176" spans="1:10" x14ac:dyDescent="0.25">
      <c r="A176" s="234"/>
      <c r="B176" s="234"/>
      <c r="C176" s="217"/>
      <c r="D176" s="217"/>
      <c r="E176" s="217"/>
      <c r="F176" s="217"/>
      <c r="G176" s="217"/>
      <c r="H176" s="234"/>
      <c r="I176" s="79" t="s">
        <v>317</v>
      </c>
      <c r="J176" s="101"/>
    </row>
    <row r="177" spans="1:10" ht="29.25" customHeight="1" x14ac:dyDescent="0.25">
      <c r="A177" s="225" t="s">
        <v>314</v>
      </c>
      <c r="B177" s="226"/>
      <c r="C177" s="226"/>
      <c r="D177" s="226"/>
      <c r="E177" s="226"/>
      <c r="F177" s="226"/>
      <c r="G177" s="226"/>
      <c r="H177" s="226"/>
      <c r="I177" s="226"/>
      <c r="J177" s="226"/>
    </row>
    <row r="178" spans="1:10" ht="57" customHeight="1" x14ac:dyDescent="0.25">
      <c r="A178" s="246"/>
      <c r="B178" s="246"/>
      <c r="C178" s="246"/>
      <c r="D178" s="246"/>
      <c r="E178" s="246"/>
      <c r="F178" s="246"/>
      <c r="G178" s="246"/>
      <c r="H178" s="246"/>
      <c r="I178" s="246"/>
      <c r="J178" s="246"/>
    </row>
    <row r="179" spans="1:10" x14ac:dyDescent="0.25">
      <c r="A179" s="228" t="s">
        <v>200</v>
      </c>
      <c r="B179" s="229"/>
      <c r="C179" s="229"/>
      <c r="D179" s="229"/>
      <c r="E179" s="229"/>
      <c r="F179" s="229"/>
      <c r="G179" s="229"/>
      <c r="H179" s="229"/>
      <c r="I179" s="229"/>
      <c r="J179" s="229"/>
    </row>
    <row r="180" spans="1:10" ht="57" customHeight="1" x14ac:dyDescent="0.25">
      <c r="A180" s="246"/>
      <c r="B180" s="246"/>
      <c r="C180" s="246"/>
      <c r="D180" s="246"/>
      <c r="E180" s="246"/>
      <c r="F180" s="246"/>
      <c r="G180" s="246"/>
      <c r="H180" s="246"/>
      <c r="I180" s="246"/>
      <c r="J180" s="246"/>
    </row>
    <row r="181" spans="1:10" x14ac:dyDescent="0.25">
      <c r="A181" s="228" t="s">
        <v>198</v>
      </c>
      <c r="B181" s="229"/>
      <c r="C181" s="229"/>
      <c r="D181" s="229"/>
      <c r="E181" s="229"/>
      <c r="F181" s="229"/>
      <c r="G181" s="229"/>
      <c r="H181" s="229"/>
      <c r="I181" s="229"/>
      <c r="J181" s="229"/>
    </row>
    <row r="182" spans="1:10" ht="29.25" customHeight="1" x14ac:dyDescent="0.25">
      <c r="A182" s="225" t="s">
        <v>318</v>
      </c>
      <c r="B182" s="226"/>
      <c r="C182" s="226"/>
      <c r="D182" s="226"/>
      <c r="E182" s="226"/>
      <c r="F182" s="226"/>
      <c r="G182" s="226"/>
      <c r="H182" s="226"/>
      <c r="I182" s="226"/>
      <c r="J182" s="226"/>
    </row>
    <row r="183" spans="1:10" x14ac:dyDescent="0.25">
      <c r="A183" s="233" t="s">
        <v>342</v>
      </c>
      <c r="B183" s="233"/>
      <c r="C183" s="233" t="s">
        <v>319</v>
      </c>
      <c r="D183" s="233"/>
      <c r="E183" s="234" t="s">
        <v>320</v>
      </c>
      <c r="F183" s="234"/>
      <c r="G183" s="233" t="s">
        <v>321</v>
      </c>
      <c r="H183" s="233"/>
      <c r="I183" s="233" t="s">
        <v>199</v>
      </c>
      <c r="J183" s="233"/>
    </row>
    <row r="184" spans="1:10" x14ac:dyDescent="0.25">
      <c r="A184" s="220" t="str">
        <f>IF('SGO #2(Tiered or Simple)'!D11=0,"",IF('SGO #2(Tiered or Simple)'!T37=0,'SGO #2(Tiered or Simple)'!S37,'SGO #2(Tiered or Simple)'!U37))</f>
        <v/>
      </c>
      <c r="B184" s="220"/>
      <c r="C184" s="214" t="e">
        <f>'SGO #2(Tiered or Simple)'!H11</f>
        <v>#VALUE!</v>
      </c>
      <c r="D184" s="214"/>
      <c r="E184" s="227" t="e">
        <f>'SGO #2(Tiered or Simple)'!I11</f>
        <v>#VALUE!</v>
      </c>
      <c r="F184" s="214"/>
      <c r="G184" s="214" t="e">
        <f>'SGO #2(Tiered or Simple)'!J11</f>
        <v>#VALUE!</v>
      </c>
      <c r="H184" s="214"/>
      <c r="I184" s="214" t="e">
        <f>'SGO #2(Tiered or Simple)'!K11</f>
        <v>#VALUE!</v>
      </c>
      <c r="J184" s="214"/>
    </row>
    <row r="185" spans="1:10" x14ac:dyDescent="0.25">
      <c r="A185" s="220"/>
      <c r="B185" s="220"/>
      <c r="C185" s="214" t="e">
        <f>'SGO #2(Tiered or Simple)'!H12</f>
        <v>#VALUE!</v>
      </c>
      <c r="D185" s="214"/>
      <c r="E185" s="214" t="e">
        <f>'SGO #2(Tiered or Simple)'!I12</f>
        <v>#VALUE!</v>
      </c>
      <c r="F185" s="214"/>
      <c r="G185" s="214" t="e">
        <f>'SGO #2(Tiered or Simple)'!J12</f>
        <v>#VALUE!</v>
      </c>
      <c r="H185" s="214"/>
      <c r="I185" s="214" t="e">
        <f>'SGO #2(Tiered or Simple)'!K12</f>
        <v>#VALUE!</v>
      </c>
      <c r="J185" s="214"/>
    </row>
    <row r="186" spans="1:10" ht="29.25" customHeight="1" x14ac:dyDescent="0.25">
      <c r="A186" s="225" t="s">
        <v>322</v>
      </c>
      <c r="B186" s="226"/>
      <c r="C186" s="226"/>
      <c r="D186" s="226"/>
      <c r="E186" s="226"/>
      <c r="F186" s="226"/>
      <c r="G186" s="226"/>
      <c r="H186" s="226"/>
      <c r="I186" s="226"/>
      <c r="J186" s="226"/>
    </row>
    <row r="187" spans="1:10" ht="21" customHeight="1" x14ac:dyDescent="0.25">
      <c r="A187" s="79" t="s">
        <v>323</v>
      </c>
      <c r="B187" s="214">
        <f>C146</f>
        <v>0</v>
      </c>
      <c r="C187" s="214"/>
      <c r="D187" s="79" t="s">
        <v>324</v>
      </c>
      <c r="E187" s="215"/>
      <c r="F187" s="215"/>
      <c r="G187" s="216" t="s">
        <v>325</v>
      </c>
      <c r="H187" s="216"/>
      <c r="I187" s="217"/>
      <c r="J187" s="217"/>
    </row>
    <row r="188" spans="1:10" ht="21" customHeight="1" x14ac:dyDescent="0.25">
      <c r="A188" s="79" t="s">
        <v>326</v>
      </c>
      <c r="B188" s="214">
        <f>C147</f>
        <v>0</v>
      </c>
      <c r="C188" s="214"/>
      <c r="D188" s="79" t="s">
        <v>324</v>
      </c>
      <c r="E188" s="215"/>
      <c r="F188" s="215"/>
      <c r="G188" s="216" t="s">
        <v>327</v>
      </c>
      <c r="H188" s="216"/>
      <c r="I188" s="217"/>
      <c r="J188" s="217"/>
    </row>
    <row r="189" spans="1:10" ht="29.25" customHeight="1" x14ac:dyDescent="0.25">
      <c r="A189" s="218" t="s">
        <v>328</v>
      </c>
      <c r="B189" s="219"/>
      <c r="C189" s="219"/>
      <c r="D189" s="219"/>
      <c r="E189" s="219"/>
      <c r="F189" s="219"/>
      <c r="G189" s="219"/>
      <c r="H189" s="219"/>
      <c r="I189" s="219"/>
      <c r="J189" s="219"/>
    </row>
    <row r="190" spans="1:10" ht="33.75" customHeight="1" x14ac:dyDescent="0.25">
      <c r="A190" s="220" t="str">
        <f ca="1">'SGO #2(Tiered or Simple)'!L12&amp;"/"&amp;'SGO #2(Tiered or Simple)'!D11</f>
        <v>0/0</v>
      </c>
      <c r="B190" s="220"/>
      <c r="C190" s="220"/>
      <c r="D190" s="89" t="s">
        <v>329</v>
      </c>
      <c r="E190" s="220" t="e">
        <f ca="1">'SGO #2(Tiered or Simple)'!N11</f>
        <v>#VALUE!</v>
      </c>
      <c r="F190" s="220"/>
      <c r="G190" s="89" t="s">
        <v>323</v>
      </c>
      <c r="H190" s="220">
        <f>C146</f>
        <v>0</v>
      </c>
      <c r="I190" s="220"/>
      <c r="J190" s="220"/>
    </row>
    <row r="191" spans="1:10" ht="33.75" customHeight="1" x14ac:dyDescent="0.25">
      <c r="A191" s="220"/>
      <c r="B191" s="220"/>
      <c r="C191" s="220"/>
      <c r="D191" s="89" t="s">
        <v>330</v>
      </c>
      <c r="E191" s="215"/>
      <c r="F191" s="215"/>
      <c r="G191" s="89" t="s">
        <v>326</v>
      </c>
      <c r="H191" s="220">
        <f>C147</f>
        <v>0</v>
      </c>
      <c r="I191" s="220"/>
      <c r="J191" s="220"/>
    </row>
    <row r="201" spans="1:10" ht="42" customHeight="1" x14ac:dyDescent="0.25">
      <c r="A201" s="208" t="s">
        <v>331</v>
      </c>
      <c r="B201" s="209"/>
      <c r="C201" s="209"/>
      <c r="D201" s="209"/>
      <c r="E201" s="209"/>
      <c r="F201" s="209"/>
      <c r="G201" s="209"/>
      <c r="H201" s="209"/>
      <c r="I201" s="209"/>
      <c r="J201" s="209"/>
    </row>
    <row r="203" spans="1:10" ht="31.5" customHeight="1" x14ac:dyDescent="0.25">
      <c r="A203" s="210" t="s">
        <v>204</v>
      </c>
      <c r="B203" s="210"/>
      <c r="C203" s="222">
        <f>C146</f>
        <v>0</v>
      </c>
      <c r="D203" s="222"/>
      <c r="E203" s="222"/>
      <c r="F203" s="222"/>
      <c r="G203" s="212" t="s">
        <v>330</v>
      </c>
      <c r="H203" s="212"/>
      <c r="I203" s="362"/>
      <c r="J203" s="362"/>
    </row>
    <row r="204" spans="1:10" ht="31.5" customHeight="1" x14ac:dyDescent="0.25">
      <c r="A204" s="211" t="s">
        <v>332</v>
      </c>
      <c r="B204" s="211"/>
      <c r="C204" s="221" t="str">
        <f>C3&amp;"/"&amp;F3</f>
        <v>/</v>
      </c>
      <c r="D204" s="221"/>
      <c r="E204" s="221"/>
      <c r="F204" s="221"/>
      <c r="G204" s="84"/>
      <c r="H204" s="77"/>
      <c r="I204" s="77"/>
    </row>
    <row r="205" spans="1:10" ht="31.5" customHeight="1" x14ac:dyDescent="0.25">
      <c r="A205" s="210" t="s">
        <v>205</v>
      </c>
      <c r="B205" s="210"/>
      <c r="C205" s="221">
        <f>C147</f>
        <v>0</v>
      </c>
      <c r="D205" s="221"/>
      <c r="E205" s="221"/>
      <c r="F205" s="221"/>
      <c r="G205" s="84"/>
      <c r="H205" s="77"/>
      <c r="I205" s="77"/>
    </row>
    <row r="207" spans="1:10" ht="29.25" customHeight="1" x14ac:dyDescent="0.25">
      <c r="A207" s="213" t="s">
        <v>333</v>
      </c>
      <c r="B207" s="213"/>
      <c r="C207" s="213"/>
      <c r="D207" s="213"/>
      <c r="E207" s="213"/>
      <c r="F207" s="213"/>
      <c r="G207" s="213"/>
      <c r="H207" s="213"/>
      <c r="I207" s="213"/>
      <c r="J207" s="213"/>
    </row>
    <row r="209" spans="1:10" x14ac:dyDescent="0.25">
      <c r="A209" s="203" t="s">
        <v>334</v>
      </c>
      <c r="B209" s="203"/>
      <c r="C209" s="203"/>
      <c r="D209" s="203"/>
      <c r="E209" s="203"/>
      <c r="F209" s="203"/>
      <c r="G209" s="203"/>
      <c r="H209" s="203"/>
      <c r="I209" s="203"/>
      <c r="J209" s="203"/>
    </row>
    <row r="210" spans="1:10" ht="75" customHeight="1" x14ac:dyDescent="0.25">
      <c r="A210" s="204"/>
      <c r="B210" s="205"/>
      <c r="C210" s="205"/>
      <c r="D210" s="205"/>
      <c r="E210" s="205"/>
      <c r="F210" s="205"/>
      <c r="G210" s="205"/>
      <c r="H210" s="205"/>
      <c r="I210" s="205"/>
      <c r="J210" s="206"/>
    </row>
    <row r="211" spans="1:10" x14ac:dyDescent="0.25">
      <c r="A211" s="203" t="s">
        <v>335</v>
      </c>
      <c r="B211" s="203"/>
      <c r="C211" s="203"/>
      <c r="D211" s="203"/>
      <c r="E211" s="203"/>
      <c r="F211" s="203"/>
      <c r="G211" s="203"/>
      <c r="H211" s="203"/>
      <c r="I211" s="203"/>
      <c r="J211" s="203"/>
    </row>
    <row r="212" spans="1:10" ht="75" customHeight="1" x14ac:dyDescent="0.25">
      <c r="A212" s="204"/>
      <c r="B212" s="205"/>
      <c r="C212" s="205"/>
      <c r="D212" s="205"/>
      <c r="E212" s="205"/>
      <c r="F212" s="205"/>
      <c r="G212" s="205"/>
      <c r="H212" s="205"/>
      <c r="I212" s="205"/>
      <c r="J212" s="206"/>
    </row>
    <row r="213" spans="1:10" x14ac:dyDescent="0.25">
      <c r="A213" s="203" t="s">
        <v>336</v>
      </c>
      <c r="B213" s="203"/>
      <c r="C213" s="203"/>
      <c r="D213" s="203"/>
      <c r="E213" s="203"/>
      <c r="F213" s="203"/>
      <c r="G213" s="203"/>
      <c r="H213" s="203"/>
      <c r="I213" s="203"/>
      <c r="J213" s="203"/>
    </row>
    <row r="214" spans="1:10" ht="75" customHeight="1" x14ac:dyDescent="0.25">
      <c r="A214" s="204"/>
      <c r="B214" s="205"/>
      <c r="C214" s="205"/>
      <c r="D214" s="205"/>
      <c r="E214" s="205"/>
      <c r="F214" s="205"/>
      <c r="G214" s="205"/>
      <c r="H214" s="205"/>
      <c r="I214" s="205"/>
      <c r="J214" s="206"/>
    </row>
    <row r="215" spans="1:10" x14ac:dyDescent="0.25">
      <c r="A215" s="203" t="s">
        <v>337</v>
      </c>
      <c r="B215" s="203"/>
      <c r="C215" s="203"/>
      <c r="D215" s="203"/>
      <c r="E215" s="203"/>
      <c r="F215" s="203"/>
      <c r="G215" s="203"/>
      <c r="H215" s="203"/>
      <c r="I215" s="203"/>
      <c r="J215" s="203"/>
    </row>
    <row r="216" spans="1:10" ht="75" customHeight="1" x14ac:dyDescent="0.25">
      <c r="A216" s="204"/>
      <c r="B216" s="205"/>
      <c r="C216" s="205"/>
      <c r="D216" s="205"/>
      <c r="E216" s="205"/>
      <c r="F216" s="205"/>
      <c r="G216" s="205"/>
      <c r="H216" s="205"/>
      <c r="I216" s="205"/>
      <c r="J216" s="206"/>
    </row>
    <row r="217" spans="1:10" ht="17.25" customHeight="1" x14ac:dyDescent="0.25">
      <c r="A217" s="91"/>
      <c r="B217" s="91"/>
      <c r="C217" s="91"/>
      <c r="D217" s="91"/>
      <c r="E217" s="91"/>
      <c r="F217" s="91"/>
      <c r="G217" s="91"/>
      <c r="H217" s="91"/>
      <c r="I217" s="91"/>
      <c r="J217" s="91"/>
    </row>
    <row r="218" spans="1:10" ht="36.75" customHeight="1" x14ac:dyDescent="0.25">
      <c r="A218" s="207" t="s">
        <v>338</v>
      </c>
      <c r="B218" s="207"/>
      <c r="C218" s="207"/>
      <c r="D218" s="207"/>
      <c r="E218" s="207"/>
      <c r="F218" s="207"/>
      <c r="G218" s="207"/>
      <c r="H218" s="207"/>
      <c r="I218" s="207"/>
      <c r="J218" s="207"/>
    </row>
    <row r="219" spans="1:10" x14ac:dyDescent="0.25">
      <c r="A219" s="90"/>
      <c r="B219" s="90"/>
      <c r="C219" s="90"/>
      <c r="D219" s="90"/>
      <c r="E219" s="90"/>
      <c r="F219" s="90"/>
      <c r="G219" s="90"/>
      <c r="H219" s="90"/>
      <c r="I219" s="90"/>
      <c r="J219" s="90"/>
    </row>
  </sheetData>
  <sheetProtection password="CC4A" sheet="1" objects="1" scenarios="1" formatCells="0" formatRows="0" selectLockedCells="1"/>
  <mergeCells count="315">
    <mergeCell ref="G46:J46"/>
    <mergeCell ref="G47:J47"/>
    <mergeCell ref="G48:J48"/>
    <mergeCell ref="G49:J49"/>
    <mergeCell ref="G50:J50"/>
    <mergeCell ref="G37:J37"/>
    <mergeCell ref="G38:J38"/>
    <mergeCell ref="G39:J39"/>
    <mergeCell ref="G40:J40"/>
    <mergeCell ref="G41:J41"/>
    <mergeCell ref="G42:J42"/>
    <mergeCell ref="G43:J43"/>
    <mergeCell ref="G44:J44"/>
    <mergeCell ref="G45:J45"/>
    <mergeCell ref="A49:B49"/>
    <mergeCell ref="A50:B50"/>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A212:J212"/>
    <mergeCell ref="A213:J213"/>
    <mergeCell ref="A214:J214"/>
    <mergeCell ref="A215:J215"/>
    <mergeCell ref="A216:J216"/>
    <mergeCell ref="A218:J218"/>
    <mergeCell ref="A205:B205"/>
    <mergeCell ref="C205:F205"/>
    <mergeCell ref="A207:J207"/>
    <mergeCell ref="A209:J209"/>
    <mergeCell ref="A210:J210"/>
    <mergeCell ref="A211:J211"/>
    <mergeCell ref="A204:B204"/>
    <mergeCell ref="C204:F204"/>
    <mergeCell ref="I203:J203"/>
    <mergeCell ref="B188:C188"/>
    <mergeCell ref="E188:F188"/>
    <mergeCell ref="G188:H188"/>
    <mergeCell ref="I188:J188"/>
    <mergeCell ref="A189:J189"/>
    <mergeCell ref="H190:J190"/>
    <mergeCell ref="H191:J191"/>
    <mergeCell ref="A186:J186"/>
    <mergeCell ref="B187:C187"/>
    <mergeCell ref="E187:F187"/>
    <mergeCell ref="G187:H187"/>
    <mergeCell ref="I187:J187"/>
    <mergeCell ref="A201:J201"/>
    <mergeCell ref="A203:B203"/>
    <mergeCell ref="C203:F203"/>
    <mergeCell ref="G203:H203"/>
    <mergeCell ref="A190:C191"/>
    <mergeCell ref="E190:F190"/>
    <mergeCell ref="E191:F191"/>
    <mergeCell ref="A183:B183"/>
    <mergeCell ref="C183:D183"/>
    <mergeCell ref="E183:F183"/>
    <mergeCell ref="G183:H183"/>
    <mergeCell ref="I183:J183"/>
    <mergeCell ref="A184:B185"/>
    <mergeCell ref="C184:D184"/>
    <mergeCell ref="E184:F184"/>
    <mergeCell ref="G184:H184"/>
    <mergeCell ref="I184:J184"/>
    <mergeCell ref="C185:D185"/>
    <mergeCell ref="E185:F185"/>
    <mergeCell ref="G185:H185"/>
    <mergeCell ref="I185:J185"/>
    <mergeCell ref="A177:J177"/>
    <mergeCell ref="A178:J178"/>
    <mergeCell ref="A179:J179"/>
    <mergeCell ref="A180:J180"/>
    <mergeCell ref="A181:J181"/>
    <mergeCell ref="A182:J182"/>
    <mergeCell ref="A172:B174"/>
    <mergeCell ref="C172:D174"/>
    <mergeCell ref="E172:G174"/>
    <mergeCell ref="I174:J174"/>
    <mergeCell ref="A175:B176"/>
    <mergeCell ref="C175:G176"/>
    <mergeCell ref="H175:H176"/>
    <mergeCell ref="A165:C165"/>
    <mergeCell ref="D165:F165"/>
    <mergeCell ref="I165:J165"/>
    <mergeCell ref="A169:J169"/>
    <mergeCell ref="A171:B171"/>
    <mergeCell ref="C171:D171"/>
    <mergeCell ref="E171:G171"/>
    <mergeCell ref="H171:J171"/>
    <mergeCell ref="A158:J158"/>
    <mergeCell ref="A159:J159"/>
    <mergeCell ref="B161:J161"/>
    <mergeCell ref="A163:C163"/>
    <mergeCell ref="D163:F163"/>
    <mergeCell ref="I163:J163"/>
    <mergeCell ref="A152:C152"/>
    <mergeCell ref="D152:F152"/>
    <mergeCell ref="G152:J152"/>
    <mergeCell ref="A154:J154"/>
    <mergeCell ref="A155:J155"/>
    <mergeCell ref="A156:J156"/>
    <mergeCell ref="G149:J149"/>
    <mergeCell ref="A150:C150"/>
    <mergeCell ref="D150:F150"/>
    <mergeCell ref="G150:J150"/>
    <mergeCell ref="A151:C151"/>
    <mergeCell ref="D151:F151"/>
    <mergeCell ref="G151:J151"/>
    <mergeCell ref="A146:B146"/>
    <mergeCell ref="C146:F146"/>
    <mergeCell ref="A147:B147"/>
    <mergeCell ref="C147:F147"/>
    <mergeCell ref="A149:C149"/>
    <mergeCell ref="D149:F149"/>
    <mergeCell ref="A137:D137"/>
    <mergeCell ref="F137:J137"/>
    <mergeCell ref="A143:J143"/>
    <mergeCell ref="A145:B145"/>
    <mergeCell ref="C145:F145"/>
    <mergeCell ref="G145:I145"/>
    <mergeCell ref="A131:D136"/>
    <mergeCell ref="E131:J131"/>
    <mergeCell ref="F132:J132"/>
    <mergeCell ref="F133:J133"/>
    <mergeCell ref="F134:J134"/>
    <mergeCell ref="F135:J135"/>
    <mergeCell ref="F136:J136"/>
    <mergeCell ref="F126:J126"/>
    <mergeCell ref="A127:D129"/>
    <mergeCell ref="F127:J127"/>
    <mergeCell ref="F128:J128"/>
    <mergeCell ref="F129:J129"/>
    <mergeCell ref="A130:D130"/>
    <mergeCell ref="F130:J130"/>
    <mergeCell ref="A120:D120"/>
    <mergeCell ref="F120:G120"/>
    <mergeCell ref="I120:J120"/>
    <mergeCell ref="A121:D121"/>
    <mergeCell ref="F121:J121"/>
    <mergeCell ref="A122:D126"/>
    <mergeCell ref="E122:J122"/>
    <mergeCell ref="F123:J123"/>
    <mergeCell ref="F124:J124"/>
    <mergeCell ref="F125:J125"/>
    <mergeCell ref="A115:J115"/>
    <mergeCell ref="A117:D117"/>
    <mergeCell ref="F117:J117"/>
    <mergeCell ref="A118:D118"/>
    <mergeCell ref="F118:J118"/>
    <mergeCell ref="A119:D119"/>
    <mergeCell ref="F119:J119"/>
    <mergeCell ref="B104:J104"/>
    <mergeCell ref="B106:J106"/>
    <mergeCell ref="A108:C108"/>
    <mergeCell ref="D108:F108"/>
    <mergeCell ref="I108:J108"/>
    <mergeCell ref="A110:C110"/>
    <mergeCell ref="D110:F110"/>
    <mergeCell ref="I110:J110"/>
    <mergeCell ref="A96:B101"/>
    <mergeCell ref="D96:J96"/>
    <mergeCell ref="D97:J97"/>
    <mergeCell ref="D98:J98"/>
    <mergeCell ref="D99:J99"/>
    <mergeCell ref="D100:J100"/>
    <mergeCell ref="A91:B95"/>
    <mergeCell ref="D91:J91"/>
    <mergeCell ref="D92:J92"/>
    <mergeCell ref="D93:J93"/>
    <mergeCell ref="D94:J94"/>
    <mergeCell ref="C95:D95"/>
    <mergeCell ref="E95:J95"/>
    <mergeCell ref="C101:D101"/>
    <mergeCell ref="E101:J101"/>
    <mergeCell ref="A85:B85"/>
    <mergeCell ref="C85:J85"/>
    <mergeCell ref="A86:B90"/>
    <mergeCell ref="D86:J86"/>
    <mergeCell ref="D87:J87"/>
    <mergeCell ref="D88:J88"/>
    <mergeCell ref="D89:J89"/>
    <mergeCell ref="A79:J79"/>
    <mergeCell ref="A81:B81"/>
    <mergeCell ref="C81:G81"/>
    <mergeCell ref="A82:B82"/>
    <mergeCell ref="C82:G82"/>
    <mergeCell ref="A83:B83"/>
    <mergeCell ref="C83:G83"/>
    <mergeCell ref="C90:D90"/>
    <mergeCell ref="E90:J90"/>
    <mergeCell ref="A76:B76"/>
    <mergeCell ref="C76:D76"/>
    <mergeCell ref="E76:F76"/>
    <mergeCell ref="G76:H76"/>
    <mergeCell ref="I76:J76"/>
    <mergeCell ref="A77:B77"/>
    <mergeCell ref="C77:D77"/>
    <mergeCell ref="E77:F77"/>
    <mergeCell ref="G77:H77"/>
    <mergeCell ref="I77:J77"/>
    <mergeCell ref="A74:B74"/>
    <mergeCell ref="C74:D74"/>
    <mergeCell ref="E74:F74"/>
    <mergeCell ref="G74:H74"/>
    <mergeCell ref="I74:J74"/>
    <mergeCell ref="A75:B75"/>
    <mergeCell ref="C75:D75"/>
    <mergeCell ref="E75:F75"/>
    <mergeCell ref="G75:H75"/>
    <mergeCell ref="I75:J75"/>
    <mergeCell ref="A70:B70"/>
    <mergeCell ref="C70:G70"/>
    <mergeCell ref="A72:J72"/>
    <mergeCell ref="A73:B73"/>
    <mergeCell ref="C73:D73"/>
    <mergeCell ref="E73:F73"/>
    <mergeCell ref="G73:H73"/>
    <mergeCell ref="I73:J73"/>
    <mergeCell ref="A65:B65"/>
    <mergeCell ref="C65:F65"/>
    <mergeCell ref="G65:J65"/>
    <mergeCell ref="A66:J66"/>
    <mergeCell ref="A68:B68"/>
    <mergeCell ref="C68:G68"/>
    <mergeCell ref="A63:B63"/>
    <mergeCell ref="C63:F63"/>
    <mergeCell ref="G63:J63"/>
    <mergeCell ref="A64:B64"/>
    <mergeCell ref="C64:F64"/>
    <mergeCell ref="G64:J64"/>
    <mergeCell ref="A61:B61"/>
    <mergeCell ref="C61:F61"/>
    <mergeCell ref="G61:J61"/>
    <mergeCell ref="A62:B62"/>
    <mergeCell ref="C62:F62"/>
    <mergeCell ref="G62:J62"/>
    <mergeCell ref="A59:B59"/>
    <mergeCell ref="C59:F59"/>
    <mergeCell ref="G59:J59"/>
    <mergeCell ref="A60:B60"/>
    <mergeCell ref="C60:F60"/>
    <mergeCell ref="G60:J60"/>
    <mergeCell ref="A57:B57"/>
    <mergeCell ref="C57:F57"/>
    <mergeCell ref="G57:J57"/>
    <mergeCell ref="A58:B58"/>
    <mergeCell ref="C58:F58"/>
    <mergeCell ref="G58:J58"/>
    <mergeCell ref="A56:B56"/>
    <mergeCell ref="C56:F56"/>
    <mergeCell ref="G56:J56"/>
    <mergeCell ref="A54:B54"/>
    <mergeCell ref="C54:F54"/>
    <mergeCell ref="G54:J54"/>
    <mergeCell ref="A55:B55"/>
    <mergeCell ref="C55:F55"/>
    <mergeCell ref="G55:J55"/>
    <mergeCell ref="A52:B52"/>
    <mergeCell ref="C52:F52"/>
    <mergeCell ref="G52:J52"/>
    <mergeCell ref="A53:B53"/>
    <mergeCell ref="C53:F53"/>
    <mergeCell ref="G53:J53"/>
    <mergeCell ref="A36:B36"/>
    <mergeCell ref="C36:F36"/>
    <mergeCell ref="G36:J36"/>
    <mergeCell ref="A51:B51"/>
    <mergeCell ref="C51:F51"/>
    <mergeCell ref="G51:J51"/>
    <mergeCell ref="A37:B37"/>
    <mergeCell ref="A38:B38"/>
    <mergeCell ref="A39:B39"/>
    <mergeCell ref="A40:B40"/>
    <mergeCell ref="A41:B41"/>
    <mergeCell ref="A42:B42"/>
    <mergeCell ref="A43:B43"/>
    <mergeCell ref="A44:B44"/>
    <mergeCell ref="A45:B45"/>
    <mergeCell ref="A46:B46"/>
    <mergeCell ref="A47:B47"/>
    <mergeCell ref="A48:B48"/>
    <mergeCell ref="A31:B31"/>
    <mergeCell ref="C31:G31"/>
    <mergeCell ref="A33:J33"/>
    <mergeCell ref="A35:B35"/>
    <mergeCell ref="C35:F35"/>
    <mergeCell ref="G35:J35"/>
    <mergeCell ref="A15:J15"/>
    <mergeCell ref="A23:J23"/>
    <mergeCell ref="A25:J25"/>
    <mergeCell ref="A27:J27"/>
    <mergeCell ref="A29:B29"/>
    <mergeCell ref="C29:G29"/>
    <mergeCell ref="A7:B7"/>
    <mergeCell ref="C7:G7"/>
    <mergeCell ref="A9:J9"/>
    <mergeCell ref="A10:J10"/>
    <mergeCell ref="A11:J11"/>
    <mergeCell ref="A13:J13"/>
    <mergeCell ref="A1:J1"/>
    <mergeCell ref="A3:B3"/>
    <mergeCell ref="C3:D3"/>
    <mergeCell ref="F3:G3"/>
    <mergeCell ref="A5:B5"/>
    <mergeCell ref="C5:G5"/>
  </mergeCells>
  <dataValidations disablePrompts="1" count="1">
    <dataValidation type="list" allowBlank="1" showInputMessage="1" showErrorMessage="1" sqref="C86:C89 C91:C94 C96:C100 A104 A106 E123:E125 E132:E135 E127:E128 A161 I172:I173 J175:J176">
      <formula1>"---,X"</formula1>
    </dataValidation>
  </dataValidations>
  <pageMargins left="0.7" right="0.7" top="0.92708333333333337" bottom="0.75" header="0.3" footer="0.3"/>
  <pageSetup scale="98" fitToHeight="0" orientation="portrait" horizontalDpi="300" r:id="rId1"/>
  <headerFooter>
    <oddHeader>&amp;L
&amp;CSGO#1 SIMPLE</oddHeader>
  </headerFooter>
  <rowBreaks count="7" manualBreakCount="7">
    <brk id="25" max="16383" man="1"/>
    <brk id="65" max="16383" man="1"/>
    <brk id="78" max="16383" man="1"/>
    <brk id="113" max="16383" man="1"/>
    <brk id="141" max="16383" man="1"/>
    <brk id="167" max="16383" man="1"/>
    <brk id="19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39997558519241921"/>
    <pageSetUpPr fitToPage="1"/>
  </sheetPr>
  <dimension ref="A1:J221"/>
  <sheetViews>
    <sheetView view="pageLayout" zoomScaleNormal="100" workbookViewId="0">
      <selection activeCell="C3" sqref="C3:D3"/>
    </sheetView>
  </sheetViews>
  <sheetFormatPr defaultRowHeight="15" x14ac:dyDescent="0.25"/>
  <sheetData>
    <row r="1" spans="1:10" ht="42.75" customHeight="1" x14ac:dyDescent="0.25">
      <c r="A1" s="208" t="s">
        <v>341</v>
      </c>
      <c r="B1" s="326"/>
      <c r="C1" s="326"/>
      <c r="D1" s="326"/>
      <c r="E1" s="326"/>
      <c r="F1" s="326"/>
      <c r="G1" s="326"/>
      <c r="H1" s="326"/>
      <c r="I1" s="326"/>
      <c r="J1" s="326"/>
    </row>
    <row r="3" spans="1:10" x14ac:dyDescent="0.25">
      <c r="A3" s="210" t="s">
        <v>340</v>
      </c>
      <c r="B3" s="210"/>
      <c r="C3" s="223"/>
      <c r="D3" s="223"/>
      <c r="E3" s="84" t="s">
        <v>339</v>
      </c>
      <c r="F3" s="223"/>
      <c r="G3" s="223"/>
    </row>
    <row r="4" spans="1:10" x14ac:dyDescent="0.25">
      <c r="A4" s="99"/>
      <c r="B4" s="99"/>
      <c r="C4" s="73"/>
    </row>
    <row r="5" spans="1:10" x14ac:dyDescent="0.25">
      <c r="A5" s="210" t="s">
        <v>204</v>
      </c>
      <c r="B5" s="210"/>
      <c r="C5" s="223"/>
      <c r="D5" s="223"/>
      <c r="E5" s="223"/>
      <c r="F5" s="223"/>
      <c r="G5" s="223"/>
    </row>
    <row r="6" spans="1:10" x14ac:dyDescent="0.25">
      <c r="A6" s="99"/>
      <c r="B6" s="99"/>
      <c r="C6" s="73"/>
    </row>
    <row r="7" spans="1:10" x14ac:dyDescent="0.25">
      <c r="A7" s="210" t="s">
        <v>205</v>
      </c>
      <c r="B7" s="210"/>
      <c r="C7" s="223"/>
      <c r="D7" s="223"/>
      <c r="E7" s="223"/>
      <c r="F7" s="223"/>
      <c r="G7" s="223"/>
    </row>
    <row r="9" spans="1:10" ht="54" customHeight="1" x14ac:dyDescent="0.25">
      <c r="A9" s="207" t="s">
        <v>206</v>
      </c>
      <c r="B9" s="207"/>
      <c r="C9" s="207"/>
      <c r="D9" s="207"/>
      <c r="E9" s="207"/>
      <c r="F9" s="207"/>
      <c r="G9" s="207"/>
      <c r="H9" s="207"/>
      <c r="I9" s="207"/>
      <c r="J9" s="207"/>
    </row>
    <row r="10" spans="1:10" ht="11.25" customHeight="1" x14ac:dyDescent="0.25">
      <c r="A10" s="207"/>
      <c r="B10" s="207"/>
      <c r="C10" s="207"/>
      <c r="D10" s="207"/>
      <c r="E10" s="207"/>
      <c r="F10" s="207"/>
      <c r="G10" s="207"/>
      <c r="H10" s="207"/>
      <c r="I10" s="207"/>
      <c r="J10" s="207"/>
    </row>
    <row r="11" spans="1:10" ht="63.75" customHeight="1" x14ac:dyDescent="0.25">
      <c r="A11" s="207" t="s">
        <v>207</v>
      </c>
      <c r="B11" s="207"/>
      <c r="C11" s="207"/>
      <c r="D11" s="207"/>
      <c r="E11" s="207"/>
      <c r="F11" s="207"/>
      <c r="G11" s="207"/>
      <c r="H11" s="207"/>
      <c r="I11" s="207"/>
      <c r="J11" s="207"/>
    </row>
    <row r="12" spans="1:10" ht="10.5" customHeight="1" x14ac:dyDescent="0.25">
      <c r="A12" s="74"/>
      <c r="B12" s="74"/>
      <c r="C12" s="74"/>
      <c r="D12" s="74"/>
      <c r="E12" s="74"/>
      <c r="F12" s="74"/>
      <c r="G12" s="74"/>
      <c r="H12" s="74"/>
      <c r="I12" s="74"/>
      <c r="J12" s="74"/>
    </row>
    <row r="13" spans="1:10" ht="67.5" customHeight="1" x14ac:dyDescent="0.25">
      <c r="A13" s="207" t="s">
        <v>208</v>
      </c>
      <c r="B13" s="207"/>
      <c r="C13" s="207"/>
      <c r="D13" s="207"/>
      <c r="E13" s="207"/>
      <c r="F13" s="207"/>
      <c r="G13" s="207"/>
      <c r="H13" s="207"/>
      <c r="I13" s="207"/>
      <c r="J13" s="207"/>
    </row>
    <row r="14" spans="1:10" ht="9.75" customHeight="1" x14ac:dyDescent="0.25">
      <c r="A14" s="74"/>
      <c r="B14" s="74"/>
      <c r="C14" s="74"/>
      <c r="D14" s="74"/>
      <c r="E14" s="74"/>
      <c r="F14" s="74"/>
      <c r="G14" s="74"/>
      <c r="H14" s="74"/>
      <c r="I14" s="74"/>
      <c r="J14" s="74"/>
    </row>
    <row r="15" spans="1:10" ht="55.5" customHeight="1" x14ac:dyDescent="0.25">
      <c r="A15" s="207" t="s">
        <v>209</v>
      </c>
      <c r="B15" s="207"/>
      <c r="C15" s="207"/>
      <c r="D15" s="207"/>
      <c r="E15" s="207"/>
      <c r="F15" s="207"/>
      <c r="G15" s="207"/>
      <c r="H15" s="207"/>
      <c r="I15" s="207"/>
      <c r="J15" s="207"/>
    </row>
    <row r="16" spans="1:10" ht="8.25" customHeight="1" x14ac:dyDescent="0.25">
      <c r="A16" s="74"/>
      <c r="B16" s="74"/>
      <c r="C16" s="74"/>
      <c r="D16" s="74"/>
      <c r="E16" s="74"/>
      <c r="F16" s="74"/>
      <c r="G16" s="74"/>
      <c r="H16" s="74"/>
      <c r="I16" s="74"/>
      <c r="J16" s="74"/>
    </row>
    <row r="17" spans="1:10" x14ac:dyDescent="0.25">
      <c r="A17" s="76" t="s">
        <v>210</v>
      </c>
      <c r="B17" s="74"/>
      <c r="C17" s="74"/>
      <c r="D17" s="74"/>
      <c r="E17" s="74"/>
      <c r="F17" s="74"/>
      <c r="G17" s="74"/>
      <c r="H17" s="74"/>
      <c r="I17" s="74"/>
      <c r="J17" s="74"/>
    </row>
    <row r="18" spans="1:10" x14ac:dyDescent="0.25">
      <c r="A18" s="76" t="s">
        <v>211</v>
      </c>
      <c r="B18" s="74"/>
      <c r="C18" s="74"/>
      <c r="D18" s="74"/>
      <c r="E18" s="74"/>
      <c r="F18" s="74"/>
      <c r="G18" s="74"/>
      <c r="H18" s="74"/>
      <c r="I18" s="74"/>
      <c r="J18" s="74"/>
    </row>
    <row r="19" spans="1:10" x14ac:dyDescent="0.25">
      <c r="A19" s="76" t="s">
        <v>212</v>
      </c>
      <c r="B19" s="74"/>
      <c r="C19" s="74"/>
      <c r="D19" s="74"/>
      <c r="E19" s="74"/>
      <c r="F19" s="74"/>
      <c r="G19" s="74"/>
      <c r="H19" s="74"/>
      <c r="I19" s="74"/>
      <c r="J19" s="74"/>
    </row>
    <row r="20" spans="1:10" x14ac:dyDescent="0.25">
      <c r="A20" s="76" t="s">
        <v>213</v>
      </c>
      <c r="B20" s="74"/>
      <c r="C20" s="74"/>
      <c r="D20" s="74"/>
      <c r="E20" s="74"/>
      <c r="F20" s="74"/>
      <c r="G20" s="74"/>
      <c r="H20" s="74"/>
      <c r="I20" s="74"/>
      <c r="J20" s="74"/>
    </row>
    <row r="21" spans="1:10" x14ac:dyDescent="0.25">
      <c r="A21" s="76" t="s">
        <v>214</v>
      </c>
      <c r="B21" s="74"/>
      <c r="C21" s="74"/>
      <c r="D21" s="74"/>
      <c r="E21" s="74"/>
      <c r="F21" s="74"/>
      <c r="G21" s="74"/>
      <c r="H21" s="74"/>
      <c r="I21" s="74"/>
      <c r="J21" s="74"/>
    </row>
    <row r="22" spans="1:10" ht="10.5" customHeight="1" x14ac:dyDescent="0.25">
      <c r="A22" s="74"/>
      <c r="B22" s="74"/>
      <c r="C22" s="74"/>
      <c r="D22" s="74"/>
      <c r="E22" s="74"/>
      <c r="F22" s="74"/>
      <c r="G22" s="74"/>
      <c r="H22" s="74"/>
      <c r="I22" s="74"/>
      <c r="J22" s="74"/>
    </row>
    <row r="23" spans="1:10" ht="34.5" customHeight="1" x14ac:dyDescent="0.25">
      <c r="A23" s="207" t="s">
        <v>215</v>
      </c>
      <c r="B23" s="207"/>
      <c r="C23" s="207"/>
      <c r="D23" s="207"/>
      <c r="E23" s="207"/>
      <c r="F23" s="207"/>
      <c r="G23" s="207"/>
      <c r="H23" s="207"/>
      <c r="I23" s="207"/>
      <c r="J23" s="207"/>
    </row>
    <row r="24" spans="1:10" ht="9.75" customHeight="1" x14ac:dyDescent="0.25">
      <c r="A24" s="74"/>
      <c r="B24" s="74"/>
      <c r="C24" s="74"/>
      <c r="D24" s="74"/>
      <c r="E24" s="74"/>
      <c r="F24" s="74"/>
      <c r="G24" s="74"/>
      <c r="H24" s="74"/>
      <c r="I24" s="74"/>
      <c r="J24" s="74"/>
    </row>
    <row r="25" spans="1:10" ht="51.75" customHeight="1" x14ac:dyDescent="0.25">
      <c r="A25" s="207" t="s">
        <v>216</v>
      </c>
      <c r="B25" s="207"/>
      <c r="C25" s="207"/>
      <c r="D25" s="207"/>
      <c r="E25" s="207"/>
      <c r="F25" s="207"/>
      <c r="G25" s="207"/>
      <c r="H25" s="207"/>
      <c r="I25" s="207"/>
      <c r="J25" s="207"/>
    </row>
    <row r="26" spans="1:10" x14ac:dyDescent="0.25">
      <c r="A26" s="74"/>
      <c r="B26" s="74"/>
      <c r="C26" s="74"/>
      <c r="D26" s="74"/>
      <c r="E26" s="74"/>
      <c r="F26" s="74"/>
      <c r="G26" s="74"/>
      <c r="H26" s="74"/>
      <c r="I26" s="74"/>
      <c r="J26" s="74"/>
    </row>
    <row r="27" spans="1:10" ht="41.25" customHeight="1" x14ac:dyDescent="0.25">
      <c r="A27" s="208" t="s">
        <v>217</v>
      </c>
      <c r="B27" s="208"/>
      <c r="C27" s="208"/>
      <c r="D27" s="208"/>
      <c r="E27" s="208"/>
      <c r="F27" s="208"/>
      <c r="G27" s="208"/>
      <c r="H27" s="208"/>
      <c r="I27" s="208"/>
      <c r="J27" s="208"/>
    </row>
    <row r="28" spans="1:10" x14ac:dyDescent="0.25">
      <c r="A28" s="74"/>
      <c r="B28" s="74"/>
      <c r="C28" s="74"/>
      <c r="D28" s="74"/>
      <c r="E28" s="74"/>
      <c r="F28" s="74"/>
      <c r="G28" s="74"/>
      <c r="H28" s="74"/>
      <c r="I28" s="74"/>
      <c r="J28" s="74"/>
    </row>
    <row r="29" spans="1:10" x14ac:dyDescent="0.25">
      <c r="A29" s="210" t="s">
        <v>203</v>
      </c>
      <c r="B29" s="210"/>
      <c r="C29" s="327">
        <f>C3</f>
        <v>0</v>
      </c>
      <c r="D29" s="327"/>
      <c r="E29" s="327"/>
      <c r="F29" s="327"/>
      <c r="G29" s="327"/>
    </row>
    <row r="30" spans="1:10" x14ac:dyDescent="0.25">
      <c r="A30" s="99"/>
      <c r="B30" s="99"/>
      <c r="C30" s="95"/>
      <c r="D30" s="64"/>
      <c r="E30" s="64"/>
      <c r="F30" s="64"/>
      <c r="G30" s="64"/>
    </row>
    <row r="31" spans="1:10" x14ac:dyDescent="0.25">
      <c r="A31" s="210" t="s">
        <v>204</v>
      </c>
      <c r="B31" s="210"/>
      <c r="C31" s="321">
        <f>C5</f>
        <v>0</v>
      </c>
      <c r="D31" s="321"/>
      <c r="E31" s="321"/>
      <c r="F31" s="321"/>
      <c r="G31" s="321"/>
    </row>
    <row r="33" spans="1:10" ht="63" customHeight="1" x14ac:dyDescent="0.25">
      <c r="A33" s="207" t="s">
        <v>218</v>
      </c>
      <c r="B33" s="207"/>
      <c r="C33" s="207"/>
      <c r="D33" s="207"/>
      <c r="E33" s="207"/>
      <c r="F33" s="207"/>
      <c r="G33" s="207"/>
      <c r="H33" s="207"/>
      <c r="I33" s="207"/>
      <c r="J33" s="207"/>
    </row>
    <row r="35" spans="1:10" ht="30.75" customHeight="1" x14ac:dyDescent="0.25">
      <c r="A35" s="328" t="s">
        <v>219</v>
      </c>
      <c r="B35" s="328"/>
      <c r="C35" s="328" t="s">
        <v>220</v>
      </c>
      <c r="D35" s="328"/>
      <c r="E35" s="328"/>
      <c r="F35" s="328"/>
      <c r="G35" s="328" t="s">
        <v>221</v>
      </c>
      <c r="H35" s="328"/>
      <c r="I35" s="328"/>
      <c r="J35" s="328"/>
    </row>
    <row r="36" spans="1:10" ht="24" customHeight="1" x14ac:dyDescent="0.25">
      <c r="A36" s="217"/>
      <c r="B36" s="217"/>
      <c r="C36" s="217"/>
      <c r="D36" s="217"/>
      <c r="E36" s="217"/>
      <c r="F36" s="217"/>
      <c r="G36" s="217"/>
      <c r="H36" s="217"/>
      <c r="I36" s="217"/>
      <c r="J36" s="217"/>
    </row>
    <row r="37" spans="1:10" s="121" customFormat="1" ht="24" customHeight="1" x14ac:dyDescent="0.25">
      <c r="A37" s="247"/>
      <c r="B37" s="248"/>
      <c r="C37" s="247"/>
      <c r="D37" s="329"/>
      <c r="E37" s="329"/>
      <c r="F37" s="248"/>
      <c r="G37" s="247"/>
      <c r="H37" s="329"/>
      <c r="I37" s="329"/>
      <c r="J37" s="248"/>
    </row>
    <row r="38" spans="1:10" s="121" customFormat="1" ht="24" customHeight="1" x14ac:dyDescent="0.25">
      <c r="A38" s="247"/>
      <c r="B38" s="248"/>
      <c r="C38" s="247"/>
      <c r="D38" s="329"/>
      <c r="E38" s="329"/>
      <c r="F38" s="248"/>
      <c r="G38" s="247"/>
      <c r="H38" s="329"/>
      <c r="I38" s="329"/>
      <c r="J38" s="248"/>
    </row>
    <row r="39" spans="1:10" s="121" customFormat="1" ht="24" customHeight="1" x14ac:dyDescent="0.25">
      <c r="A39" s="247"/>
      <c r="B39" s="248"/>
      <c r="C39" s="247"/>
      <c r="D39" s="329"/>
      <c r="E39" s="329"/>
      <c r="F39" s="248"/>
      <c r="G39" s="247"/>
      <c r="H39" s="329"/>
      <c r="I39" s="329"/>
      <c r="J39" s="248"/>
    </row>
    <row r="40" spans="1:10" s="121" customFormat="1" ht="24" customHeight="1" x14ac:dyDescent="0.25">
      <c r="A40" s="247"/>
      <c r="B40" s="248"/>
      <c r="C40" s="247"/>
      <c r="D40" s="329"/>
      <c r="E40" s="329"/>
      <c r="F40" s="248"/>
      <c r="G40" s="247"/>
      <c r="H40" s="329"/>
      <c r="I40" s="329"/>
      <c r="J40" s="248"/>
    </row>
    <row r="41" spans="1:10" s="121" customFormat="1" ht="24" customHeight="1" x14ac:dyDescent="0.25">
      <c r="A41" s="247"/>
      <c r="B41" s="248"/>
      <c r="C41" s="247"/>
      <c r="D41" s="329"/>
      <c r="E41" s="329"/>
      <c r="F41" s="248"/>
      <c r="G41" s="247"/>
      <c r="H41" s="329"/>
      <c r="I41" s="329"/>
      <c r="J41" s="248"/>
    </row>
    <row r="42" spans="1:10" s="121" customFormat="1" ht="24" customHeight="1" x14ac:dyDescent="0.25">
      <c r="A42" s="247"/>
      <c r="B42" s="248"/>
      <c r="C42" s="247"/>
      <c r="D42" s="329"/>
      <c r="E42" s="329"/>
      <c r="F42" s="248"/>
      <c r="G42" s="247"/>
      <c r="H42" s="329"/>
      <c r="I42" s="329"/>
      <c r="J42" s="248"/>
    </row>
    <row r="43" spans="1:10" s="121" customFormat="1" ht="24" customHeight="1" x14ac:dyDescent="0.25">
      <c r="A43" s="247"/>
      <c r="B43" s="248"/>
      <c r="C43" s="247"/>
      <c r="D43" s="329"/>
      <c r="E43" s="329"/>
      <c r="F43" s="248"/>
      <c r="G43" s="247"/>
      <c r="H43" s="329"/>
      <c r="I43" s="329"/>
      <c r="J43" s="248"/>
    </row>
    <row r="44" spans="1:10" s="121" customFormat="1" ht="24" customHeight="1" x14ac:dyDescent="0.25">
      <c r="A44" s="247"/>
      <c r="B44" s="248"/>
      <c r="C44" s="247"/>
      <c r="D44" s="329"/>
      <c r="E44" s="329"/>
      <c r="F44" s="248"/>
      <c r="G44" s="247"/>
      <c r="H44" s="329"/>
      <c r="I44" s="329"/>
      <c r="J44" s="248"/>
    </row>
    <row r="45" spans="1:10" s="121" customFormat="1" ht="24" customHeight="1" x14ac:dyDescent="0.25">
      <c r="A45" s="247"/>
      <c r="B45" s="248"/>
      <c r="C45" s="247"/>
      <c r="D45" s="329"/>
      <c r="E45" s="329"/>
      <c r="F45" s="248"/>
      <c r="G45" s="247"/>
      <c r="H45" s="329"/>
      <c r="I45" s="329"/>
      <c r="J45" s="248"/>
    </row>
    <row r="46" spans="1:10" s="121" customFormat="1" ht="24" customHeight="1" x14ac:dyDescent="0.25">
      <c r="A46" s="247"/>
      <c r="B46" s="248"/>
      <c r="C46" s="247"/>
      <c r="D46" s="329"/>
      <c r="E46" s="329"/>
      <c r="F46" s="248"/>
      <c r="G46" s="247"/>
      <c r="H46" s="329"/>
      <c r="I46" s="329"/>
      <c r="J46" s="248"/>
    </row>
    <row r="47" spans="1:10" s="121" customFormat="1" ht="24" customHeight="1" x14ac:dyDescent="0.25">
      <c r="A47" s="247"/>
      <c r="B47" s="248"/>
      <c r="C47" s="247"/>
      <c r="D47" s="329"/>
      <c r="E47" s="329"/>
      <c r="F47" s="248"/>
      <c r="G47" s="247"/>
      <c r="H47" s="329"/>
      <c r="I47" s="329"/>
      <c r="J47" s="248"/>
    </row>
    <row r="48" spans="1:10" s="121" customFormat="1" ht="24" customHeight="1" x14ac:dyDescent="0.25">
      <c r="A48" s="247"/>
      <c r="B48" s="248"/>
      <c r="C48" s="247"/>
      <c r="D48" s="329"/>
      <c r="E48" s="329"/>
      <c r="F48" s="248"/>
      <c r="G48" s="247"/>
      <c r="H48" s="329"/>
      <c r="I48" s="329"/>
      <c r="J48" s="248"/>
    </row>
    <row r="49" spans="1:10" s="121" customFormat="1" ht="24" customHeight="1" x14ac:dyDescent="0.25">
      <c r="A49" s="247"/>
      <c r="B49" s="248"/>
      <c r="C49" s="247"/>
      <c r="D49" s="329"/>
      <c r="E49" s="329"/>
      <c r="F49" s="248"/>
      <c r="G49" s="247"/>
      <c r="H49" s="329"/>
      <c r="I49" s="329"/>
      <c r="J49" s="248"/>
    </row>
    <row r="50" spans="1:10" s="121" customFormat="1" ht="24" customHeight="1" x14ac:dyDescent="0.25">
      <c r="A50" s="247"/>
      <c r="B50" s="248"/>
      <c r="C50" s="247"/>
      <c r="D50" s="329"/>
      <c r="E50" s="329"/>
      <c r="F50" s="248"/>
      <c r="G50" s="247"/>
      <c r="H50" s="329"/>
      <c r="I50" s="329"/>
      <c r="J50" s="248"/>
    </row>
    <row r="51" spans="1:10" ht="24" customHeight="1" x14ac:dyDescent="0.25">
      <c r="A51" s="217"/>
      <c r="B51" s="217"/>
      <c r="C51" s="217"/>
      <c r="D51" s="217"/>
      <c r="E51" s="217"/>
      <c r="F51" s="217"/>
      <c r="G51" s="217"/>
      <c r="H51" s="217"/>
      <c r="I51" s="217"/>
      <c r="J51" s="217"/>
    </row>
    <row r="52" spans="1:10" ht="24" customHeight="1" x14ac:dyDescent="0.25">
      <c r="A52" s="217"/>
      <c r="B52" s="217"/>
      <c r="C52" s="217"/>
      <c r="D52" s="217"/>
      <c r="E52" s="217"/>
      <c r="F52" s="217"/>
      <c r="G52" s="217"/>
      <c r="H52" s="217"/>
      <c r="I52" s="217"/>
      <c r="J52" s="217"/>
    </row>
    <row r="53" spans="1:10" ht="24" customHeight="1" x14ac:dyDescent="0.25">
      <c r="A53" s="217"/>
      <c r="B53" s="217"/>
      <c r="C53" s="217"/>
      <c r="D53" s="217"/>
      <c r="E53" s="217"/>
      <c r="F53" s="217"/>
      <c r="G53" s="217"/>
      <c r="H53" s="217"/>
      <c r="I53" s="217"/>
      <c r="J53" s="217"/>
    </row>
    <row r="54" spans="1:10" ht="24" customHeight="1" x14ac:dyDescent="0.25">
      <c r="A54" s="217"/>
      <c r="B54" s="217"/>
      <c r="C54" s="217"/>
      <c r="D54" s="217"/>
      <c r="E54" s="217"/>
      <c r="F54" s="217"/>
      <c r="G54" s="217"/>
      <c r="H54" s="217"/>
      <c r="I54" s="217"/>
      <c r="J54" s="217"/>
    </row>
    <row r="55" spans="1:10" ht="24" customHeight="1" x14ac:dyDescent="0.25">
      <c r="A55" s="217"/>
      <c r="B55" s="217"/>
      <c r="C55" s="217"/>
      <c r="D55" s="217"/>
      <c r="E55" s="217"/>
      <c r="F55" s="217"/>
      <c r="G55" s="217"/>
      <c r="H55" s="217"/>
      <c r="I55" s="217"/>
      <c r="J55" s="217"/>
    </row>
    <row r="56" spans="1:10" ht="24" customHeight="1" x14ac:dyDescent="0.25">
      <c r="A56" s="217"/>
      <c r="B56" s="217"/>
      <c r="C56" s="217"/>
      <c r="D56" s="217"/>
      <c r="E56" s="217"/>
      <c r="F56" s="217"/>
      <c r="G56" s="217"/>
      <c r="H56" s="217"/>
      <c r="I56" s="217"/>
      <c r="J56" s="217"/>
    </row>
    <row r="57" spans="1:10" ht="24" customHeight="1" x14ac:dyDescent="0.25">
      <c r="A57" s="217"/>
      <c r="B57" s="217"/>
      <c r="C57" s="217"/>
      <c r="D57" s="217"/>
      <c r="E57" s="217"/>
      <c r="F57" s="217"/>
      <c r="G57" s="217"/>
      <c r="H57" s="217"/>
      <c r="I57" s="217"/>
      <c r="J57" s="217"/>
    </row>
    <row r="58" spans="1:10" ht="24" customHeight="1" x14ac:dyDescent="0.25">
      <c r="A58" s="217"/>
      <c r="B58" s="217"/>
      <c r="C58" s="217"/>
      <c r="D58" s="217"/>
      <c r="E58" s="217"/>
      <c r="F58" s="217"/>
      <c r="G58" s="217"/>
      <c r="H58" s="217"/>
      <c r="I58" s="217"/>
      <c r="J58" s="217"/>
    </row>
    <row r="59" spans="1:10" ht="24" customHeight="1" x14ac:dyDescent="0.25">
      <c r="A59" s="217"/>
      <c r="B59" s="217"/>
      <c r="C59" s="217"/>
      <c r="D59" s="217"/>
      <c r="E59" s="217"/>
      <c r="F59" s="217"/>
      <c r="G59" s="217"/>
      <c r="H59" s="217"/>
      <c r="I59" s="217"/>
      <c r="J59" s="217"/>
    </row>
    <row r="60" spans="1:10" ht="24" customHeight="1" x14ac:dyDescent="0.25">
      <c r="A60" s="217"/>
      <c r="B60" s="217"/>
      <c r="C60" s="217"/>
      <c r="D60" s="217"/>
      <c r="E60" s="217"/>
      <c r="F60" s="217"/>
      <c r="G60" s="217"/>
      <c r="H60" s="217"/>
      <c r="I60" s="217"/>
      <c r="J60" s="217"/>
    </row>
    <row r="61" spans="1:10" ht="24" customHeight="1" x14ac:dyDescent="0.25">
      <c r="A61" s="217"/>
      <c r="B61" s="217"/>
      <c r="C61" s="217"/>
      <c r="D61" s="217"/>
      <c r="E61" s="217"/>
      <c r="F61" s="217"/>
      <c r="G61" s="217"/>
      <c r="H61" s="217"/>
      <c r="I61" s="217"/>
      <c r="J61" s="217"/>
    </row>
    <row r="62" spans="1:10" ht="24" customHeight="1" x14ac:dyDescent="0.25">
      <c r="A62" s="217"/>
      <c r="B62" s="217"/>
      <c r="C62" s="217"/>
      <c r="D62" s="217"/>
      <c r="E62" s="217"/>
      <c r="F62" s="217"/>
      <c r="G62" s="217"/>
      <c r="H62" s="217"/>
      <c r="I62" s="217"/>
      <c r="J62" s="217"/>
    </row>
    <row r="63" spans="1:10" ht="24" customHeight="1" x14ac:dyDescent="0.25">
      <c r="A63" s="217"/>
      <c r="B63" s="217"/>
      <c r="C63" s="217"/>
      <c r="D63" s="217"/>
      <c r="E63" s="217"/>
      <c r="F63" s="217"/>
      <c r="G63" s="217"/>
      <c r="H63" s="217"/>
      <c r="I63" s="217"/>
      <c r="J63" s="217"/>
    </row>
    <row r="64" spans="1:10" ht="24" customHeight="1" x14ac:dyDescent="0.25">
      <c r="A64" s="217"/>
      <c r="B64" s="217"/>
      <c r="C64" s="217"/>
      <c r="D64" s="217"/>
      <c r="E64" s="217"/>
      <c r="F64" s="217"/>
      <c r="G64" s="217"/>
      <c r="H64" s="217"/>
      <c r="I64" s="217"/>
      <c r="J64" s="217"/>
    </row>
    <row r="65" spans="1:10" ht="24" customHeight="1" x14ac:dyDescent="0.25">
      <c r="A65" s="217"/>
      <c r="B65" s="217"/>
      <c r="C65" s="217"/>
      <c r="D65" s="217"/>
      <c r="E65" s="217"/>
      <c r="F65" s="217"/>
      <c r="G65" s="217"/>
      <c r="H65" s="217"/>
      <c r="I65" s="217"/>
      <c r="J65" s="217"/>
    </row>
    <row r="66" spans="1:10" ht="40.5" customHeight="1" x14ac:dyDescent="0.25">
      <c r="A66" s="208" t="s">
        <v>222</v>
      </c>
      <c r="B66" s="209"/>
      <c r="C66" s="209"/>
      <c r="D66" s="209"/>
      <c r="E66" s="209"/>
      <c r="F66" s="209"/>
      <c r="G66" s="209"/>
      <c r="H66" s="209"/>
      <c r="I66" s="209"/>
      <c r="J66" s="209"/>
    </row>
    <row r="68" spans="1:10" x14ac:dyDescent="0.25">
      <c r="A68" s="210" t="s">
        <v>203</v>
      </c>
      <c r="B68" s="210"/>
      <c r="C68" s="321" t="str">
        <f>C3&amp;"/"&amp;F3</f>
        <v>/</v>
      </c>
      <c r="D68" s="321"/>
      <c r="E68" s="321"/>
      <c r="F68" s="321"/>
      <c r="G68" s="321"/>
    </row>
    <row r="69" spans="1:10" x14ac:dyDescent="0.25">
      <c r="A69" s="99"/>
      <c r="B69" s="99"/>
      <c r="C69" s="73"/>
    </row>
    <row r="70" spans="1:10" x14ac:dyDescent="0.25">
      <c r="A70" s="210" t="s">
        <v>204</v>
      </c>
      <c r="B70" s="210"/>
      <c r="C70" s="321">
        <f>C5</f>
        <v>0</v>
      </c>
      <c r="D70" s="321"/>
      <c r="E70" s="321"/>
      <c r="F70" s="321"/>
      <c r="G70" s="321"/>
    </row>
    <row r="72" spans="1:10" ht="49.5" customHeight="1" x14ac:dyDescent="0.25">
      <c r="A72" s="207" t="s">
        <v>223</v>
      </c>
      <c r="B72" s="207"/>
      <c r="C72" s="207"/>
      <c r="D72" s="207"/>
      <c r="E72" s="207"/>
      <c r="F72" s="207"/>
      <c r="G72" s="207"/>
      <c r="H72" s="207"/>
      <c r="I72" s="207"/>
      <c r="J72" s="207"/>
    </row>
    <row r="73" spans="1:10" ht="45.75" customHeight="1" x14ac:dyDescent="0.25">
      <c r="A73" s="325" t="s">
        <v>224</v>
      </c>
      <c r="B73" s="325"/>
      <c r="C73" s="325" t="s">
        <v>225</v>
      </c>
      <c r="D73" s="325"/>
      <c r="E73" s="325" t="s">
        <v>226</v>
      </c>
      <c r="F73" s="325"/>
      <c r="G73" s="325" t="s">
        <v>227</v>
      </c>
      <c r="H73" s="325"/>
      <c r="I73" s="325" t="s">
        <v>221</v>
      </c>
      <c r="J73" s="325"/>
    </row>
    <row r="74" spans="1:10" ht="115.5" customHeight="1" x14ac:dyDescent="0.25">
      <c r="A74" s="322" t="s">
        <v>228</v>
      </c>
      <c r="B74" s="322"/>
      <c r="C74" s="291" t="s">
        <v>232</v>
      </c>
      <c r="D74" s="291"/>
      <c r="E74" s="291" t="s">
        <v>236</v>
      </c>
      <c r="F74" s="291"/>
      <c r="G74" s="291" t="s">
        <v>237</v>
      </c>
      <c r="H74" s="291"/>
      <c r="I74" s="323"/>
      <c r="J74" s="323"/>
    </row>
    <row r="75" spans="1:10" ht="115.5" customHeight="1" x14ac:dyDescent="0.25">
      <c r="A75" s="322" t="s">
        <v>229</v>
      </c>
      <c r="B75" s="322"/>
      <c r="C75" s="291" t="s">
        <v>233</v>
      </c>
      <c r="D75" s="291"/>
      <c r="E75" s="291" t="s">
        <v>238</v>
      </c>
      <c r="F75" s="291"/>
      <c r="G75" s="291" t="s">
        <v>239</v>
      </c>
      <c r="H75" s="291"/>
      <c r="I75" s="323"/>
      <c r="J75" s="323"/>
    </row>
    <row r="76" spans="1:10" ht="115.5" customHeight="1" x14ac:dyDescent="0.25">
      <c r="A76" s="322" t="s">
        <v>230</v>
      </c>
      <c r="B76" s="322"/>
      <c r="C76" s="291" t="s">
        <v>234</v>
      </c>
      <c r="D76" s="291"/>
      <c r="E76" s="291" t="s">
        <v>240</v>
      </c>
      <c r="F76" s="291"/>
      <c r="G76" s="291" t="s">
        <v>241</v>
      </c>
      <c r="H76" s="291"/>
      <c r="I76" s="323"/>
      <c r="J76" s="323"/>
    </row>
    <row r="77" spans="1:10" ht="115.5" customHeight="1" x14ac:dyDescent="0.25">
      <c r="A77" s="322" t="s">
        <v>231</v>
      </c>
      <c r="B77" s="322"/>
      <c r="C77" s="324" t="s">
        <v>235</v>
      </c>
      <c r="D77" s="324"/>
      <c r="E77" s="291" t="s">
        <v>242</v>
      </c>
      <c r="F77" s="291"/>
      <c r="G77" s="291" t="s">
        <v>243</v>
      </c>
      <c r="H77" s="291"/>
      <c r="I77" s="323"/>
      <c r="J77" s="323"/>
    </row>
    <row r="79" spans="1:10" ht="44.25" customHeight="1" x14ac:dyDescent="0.25">
      <c r="A79" s="208" t="s">
        <v>244</v>
      </c>
      <c r="B79" s="209"/>
      <c r="C79" s="209"/>
      <c r="D79" s="209"/>
      <c r="E79" s="209"/>
      <c r="F79" s="209"/>
      <c r="G79" s="209"/>
      <c r="H79" s="209"/>
      <c r="I79" s="209"/>
      <c r="J79" s="209"/>
    </row>
    <row r="80" spans="1:10" ht="10.5" customHeight="1" x14ac:dyDescent="0.25"/>
    <row r="81" spans="1:10" x14ac:dyDescent="0.25">
      <c r="A81" s="210" t="s">
        <v>203</v>
      </c>
      <c r="B81" s="210"/>
      <c r="C81" s="321" t="str">
        <f>C3&amp;"/"&amp;F3</f>
        <v>/</v>
      </c>
      <c r="D81" s="321"/>
      <c r="E81" s="321"/>
      <c r="F81" s="321"/>
      <c r="G81" s="321"/>
    </row>
    <row r="82" spans="1:10" x14ac:dyDescent="0.25">
      <c r="A82" s="210" t="s">
        <v>204</v>
      </c>
      <c r="B82" s="210"/>
      <c r="C82" s="321">
        <f>C5</f>
        <v>0</v>
      </c>
      <c r="D82" s="321"/>
      <c r="E82" s="321"/>
      <c r="F82" s="321"/>
      <c r="G82" s="321"/>
    </row>
    <row r="83" spans="1:10" x14ac:dyDescent="0.25">
      <c r="A83" s="210" t="s">
        <v>205</v>
      </c>
      <c r="B83" s="210"/>
      <c r="C83" s="321">
        <f>C7</f>
        <v>0</v>
      </c>
      <c r="D83" s="321"/>
      <c r="E83" s="321"/>
      <c r="F83" s="321"/>
      <c r="G83" s="321"/>
    </row>
    <row r="84" spans="1:10" ht="10.5" customHeight="1" x14ac:dyDescent="0.25"/>
    <row r="85" spans="1:10" x14ac:dyDescent="0.25">
      <c r="A85" s="316" t="s">
        <v>245</v>
      </c>
      <c r="B85" s="316"/>
      <c r="C85" s="316" t="s">
        <v>246</v>
      </c>
      <c r="D85" s="316"/>
      <c r="E85" s="316"/>
      <c r="F85" s="316"/>
      <c r="G85" s="316"/>
      <c r="H85" s="316"/>
      <c r="I85" s="316"/>
      <c r="J85" s="316"/>
    </row>
    <row r="86" spans="1:10" x14ac:dyDescent="0.25">
      <c r="A86" s="317" t="s">
        <v>252</v>
      </c>
      <c r="B86" s="317"/>
      <c r="C86" s="101"/>
      <c r="D86" s="318" t="s">
        <v>247</v>
      </c>
      <c r="E86" s="318"/>
      <c r="F86" s="318"/>
      <c r="G86" s="318"/>
      <c r="H86" s="318"/>
      <c r="I86" s="318"/>
      <c r="J86" s="318"/>
    </row>
    <row r="87" spans="1:10" s="78" customFormat="1" ht="39.75" customHeight="1" x14ac:dyDescent="0.25">
      <c r="A87" s="317"/>
      <c r="B87" s="317"/>
      <c r="C87" s="101"/>
      <c r="D87" s="319" t="s">
        <v>248</v>
      </c>
      <c r="E87" s="319"/>
      <c r="F87" s="319"/>
      <c r="G87" s="319"/>
      <c r="H87" s="319"/>
      <c r="I87" s="319"/>
      <c r="J87" s="319"/>
    </row>
    <row r="88" spans="1:10" ht="32.25" customHeight="1" x14ac:dyDescent="0.25">
      <c r="A88" s="317"/>
      <c r="B88" s="317"/>
      <c r="C88" s="101"/>
      <c r="D88" s="319" t="s">
        <v>249</v>
      </c>
      <c r="E88" s="319"/>
      <c r="F88" s="319"/>
      <c r="G88" s="319"/>
      <c r="H88" s="319"/>
      <c r="I88" s="319"/>
      <c r="J88" s="319"/>
    </row>
    <row r="89" spans="1:10" x14ac:dyDescent="0.25">
      <c r="A89" s="317"/>
      <c r="B89" s="317"/>
      <c r="C89" s="101"/>
      <c r="D89" s="320" t="s">
        <v>250</v>
      </c>
      <c r="E89" s="320"/>
      <c r="F89" s="320"/>
      <c r="G89" s="320"/>
      <c r="H89" s="320"/>
      <c r="I89" s="320"/>
      <c r="J89" s="320"/>
    </row>
    <row r="90" spans="1:10" x14ac:dyDescent="0.25">
      <c r="A90" s="317"/>
      <c r="B90" s="317"/>
      <c r="C90" s="312" t="s">
        <v>251</v>
      </c>
      <c r="D90" s="312"/>
      <c r="E90" s="354"/>
      <c r="F90" s="354"/>
      <c r="G90" s="354"/>
      <c r="H90" s="354"/>
      <c r="I90" s="354"/>
      <c r="J90" s="354"/>
    </row>
    <row r="91" spans="1:10" ht="28.5" customHeight="1" x14ac:dyDescent="0.25">
      <c r="A91" s="317" t="s">
        <v>257</v>
      </c>
      <c r="B91" s="317"/>
      <c r="C91" s="101"/>
      <c r="D91" s="319" t="s">
        <v>253</v>
      </c>
      <c r="E91" s="319"/>
      <c r="F91" s="319"/>
      <c r="G91" s="319"/>
      <c r="H91" s="319"/>
      <c r="I91" s="319"/>
      <c r="J91" s="319"/>
    </row>
    <row r="92" spans="1:10" x14ac:dyDescent="0.25">
      <c r="A92" s="317"/>
      <c r="B92" s="317"/>
      <c r="C92" s="101"/>
      <c r="D92" s="319" t="s">
        <v>254</v>
      </c>
      <c r="E92" s="319"/>
      <c r="F92" s="319"/>
      <c r="G92" s="319"/>
      <c r="H92" s="319"/>
      <c r="I92" s="319"/>
      <c r="J92" s="319"/>
    </row>
    <row r="93" spans="1:10" ht="27.75" customHeight="1" x14ac:dyDescent="0.25">
      <c r="A93" s="317"/>
      <c r="B93" s="317"/>
      <c r="C93" s="101"/>
      <c r="D93" s="319" t="s">
        <v>255</v>
      </c>
      <c r="E93" s="319"/>
      <c r="F93" s="319"/>
      <c r="G93" s="319"/>
      <c r="H93" s="319"/>
      <c r="I93" s="319"/>
      <c r="J93" s="319"/>
    </row>
    <row r="94" spans="1:10" ht="28.5" customHeight="1" x14ac:dyDescent="0.25">
      <c r="A94" s="317"/>
      <c r="B94" s="317"/>
      <c r="C94" s="101"/>
      <c r="D94" s="319" t="s">
        <v>256</v>
      </c>
      <c r="E94" s="319"/>
      <c r="F94" s="319"/>
      <c r="G94" s="319"/>
      <c r="H94" s="319"/>
      <c r="I94" s="319"/>
      <c r="J94" s="319"/>
    </row>
    <row r="95" spans="1:10" x14ac:dyDescent="0.25">
      <c r="A95" s="317"/>
      <c r="B95" s="317"/>
      <c r="C95" s="312" t="s">
        <v>251</v>
      </c>
      <c r="D95" s="312"/>
      <c r="E95" s="354"/>
      <c r="F95" s="354"/>
      <c r="G95" s="354"/>
      <c r="H95" s="354"/>
      <c r="I95" s="354"/>
      <c r="J95" s="354"/>
    </row>
    <row r="96" spans="1:10" x14ac:dyDescent="0.25">
      <c r="A96" s="317" t="s">
        <v>258</v>
      </c>
      <c r="B96" s="317"/>
      <c r="C96" s="101"/>
      <c r="D96" s="318" t="s">
        <v>259</v>
      </c>
      <c r="E96" s="318"/>
      <c r="F96" s="318"/>
      <c r="G96" s="318"/>
      <c r="H96" s="318"/>
      <c r="I96" s="318"/>
      <c r="J96" s="318"/>
    </row>
    <row r="97" spans="1:10" ht="27.75" customHeight="1" x14ac:dyDescent="0.25">
      <c r="A97" s="317"/>
      <c r="B97" s="317"/>
      <c r="C97" s="101"/>
      <c r="D97" s="319" t="s">
        <v>260</v>
      </c>
      <c r="E97" s="319"/>
      <c r="F97" s="319"/>
      <c r="G97" s="319"/>
      <c r="H97" s="319"/>
      <c r="I97" s="319"/>
      <c r="J97" s="319"/>
    </row>
    <row r="98" spans="1:10" ht="15.75" customHeight="1" x14ac:dyDescent="0.25">
      <c r="A98" s="317"/>
      <c r="B98" s="317"/>
      <c r="C98" s="101"/>
      <c r="D98" s="319" t="s">
        <v>261</v>
      </c>
      <c r="E98" s="319"/>
      <c r="F98" s="319"/>
      <c r="G98" s="319"/>
      <c r="H98" s="319"/>
      <c r="I98" s="319"/>
      <c r="J98" s="319"/>
    </row>
    <row r="99" spans="1:10" ht="24" customHeight="1" x14ac:dyDescent="0.25">
      <c r="A99" s="317"/>
      <c r="B99" s="317"/>
      <c r="C99" s="101"/>
      <c r="D99" s="319" t="s">
        <v>262</v>
      </c>
      <c r="E99" s="319"/>
      <c r="F99" s="319"/>
      <c r="G99" s="319"/>
      <c r="H99" s="319"/>
      <c r="I99" s="319"/>
      <c r="J99" s="319"/>
    </row>
    <row r="100" spans="1:10" ht="35.25" customHeight="1" x14ac:dyDescent="0.25">
      <c r="A100" s="317"/>
      <c r="B100" s="317"/>
      <c r="C100" s="101"/>
      <c r="D100" s="319" t="s">
        <v>263</v>
      </c>
      <c r="E100" s="319"/>
      <c r="F100" s="319"/>
      <c r="G100" s="319"/>
      <c r="H100" s="319"/>
      <c r="I100" s="319"/>
      <c r="J100" s="319"/>
    </row>
    <row r="101" spans="1:10" x14ac:dyDescent="0.25">
      <c r="A101" s="317"/>
      <c r="B101" s="317"/>
      <c r="C101" s="312" t="s">
        <v>251</v>
      </c>
      <c r="D101" s="312"/>
      <c r="E101" s="354"/>
      <c r="F101" s="354"/>
      <c r="G101" s="354"/>
      <c r="H101" s="354"/>
      <c r="I101" s="354"/>
      <c r="J101" s="354"/>
    </row>
    <row r="104" spans="1:10" x14ac:dyDescent="0.25">
      <c r="A104" s="98"/>
      <c r="B104" s="310" t="s">
        <v>264</v>
      </c>
      <c r="C104" s="310"/>
      <c r="D104" s="310"/>
      <c r="E104" s="310"/>
      <c r="F104" s="310"/>
      <c r="G104" s="310"/>
      <c r="H104" s="310"/>
      <c r="I104" s="310"/>
      <c r="J104" s="310"/>
    </row>
    <row r="105" spans="1:10" x14ac:dyDescent="0.25">
      <c r="B105" s="97"/>
      <c r="C105" s="97"/>
      <c r="D105" s="97"/>
      <c r="E105" s="97"/>
      <c r="F105" s="97"/>
      <c r="G105" s="97"/>
      <c r="H105" s="97"/>
      <c r="I105" s="97"/>
      <c r="J105" s="97"/>
    </row>
    <row r="106" spans="1:10" x14ac:dyDescent="0.25">
      <c r="A106" s="98"/>
      <c r="B106" s="311" t="s">
        <v>265</v>
      </c>
      <c r="C106" s="310"/>
      <c r="D106" s="310"/>
      <c r="E106" s="310"/>
      <c r="F106" s="310"/>
      <c r="G106" s="310"/>
      <c r="H106" s="310"/>
      <c r="I106" s="310"/>
      <c r="J106" s="310"/>
    </row>
    <row r="108" spans="1:10" x14ac:dyDescent="0.25">
      <c r="A108" s="187" t="s">
        <v>266</v>
      </c>
      <c r="B108" s="187"/>
      <c r="C108" s="187"/>
      <c r="D108" s="268"/>
      <c r="E108" s="268"/>
      <c r="F108" s="268"/>
      <c r="H108" t="s">
        <v>267</v>
      </c>
      <c r="I108" s="269"/>
      <c r="J108" s="269"/>
    </row>
    <row r="110" spans="1:10" x14ac:dyDescent="0.25">
      <c r="A110" s="187" t="s">
        <v>268</v>
      </c>
      <c r="B110" s="187"/>
      <c r="C110" s="187"/>
      <c r="D110" s="268"/>
      <c r="E110" s="268"/>
      <c r="F110" s="268"/>
      <c r="H110" t="s">
        <v>267</v>
      </c>
      <c r="I110" s="269"/>
      <c r="J110" s="269"/>
    </row>
    <row r="115" spans="1:10" ht="40.5" customHeight="1" x14ac:dyDescent="0.25">
      <c r="A115" s="208" t="s">
        <v>293</v>
      </c>
      <c r="B115" s="209"/>
      <c r="C115" s="209"/>
      <c r="D115" s="209"/>
      <c r="E115" s="209"/>
      <c r="F115" s="209"/>
      <c r="G115" s="209"/>
      <c r="H115" s="209"/>
      <c r="I115" s="209"/>
      <c r="J115" s="209"/>
    </row>
    <row r="117" spans="1:10" x14ac:dyDescent="0.25">
      <c r="A117" s="293" t="s">
        <v>269</v>
      </c>
      <c r="B117" s="293"/>
      <c r="C117" s="293"/>
      <c r="D117" s="293"/>
      <c r="E117" s="81"/>
      <c r="F117" s="285">
        <f>C5</f>
        <v>0</v>
      </c>
      <c r="G117" s="285"/>
      <c r="H117" s="285"/>
      <c r="I117" s="285"/>
      <c r="J117" s="286"/>
    </row>
    <row r="118" spans="1:10" x14ac:dyDescent="0.25">
      <c r="A118" s="293" t="s">
        <v>270</v>
      </c>
      <c r="B118" s="293"/>
      <c r="C118" s="293"/>
      <c r="D118" s="293"/>
      <c r="E118" s="81"/>
      <c r="F118" s="285">
        <f>C3</f>
        <v>0</v>
      </c>
      <c r="G118" s="285"/>
      <c r="H118" s="285"/>
      <c r="I118" s="285"/>
      <c r="J118" s="286"/>
    </row>
    <row r="119" spans="1:10" x14ac:dyDescent="0.25">
      <c r="A119" s="293" t="s">
        <v>271</v>
      </c>
      <c r="B119" s="293"/>
      <c r="C119" s="293"/>
      <c r="D119" s="293"/>
      <c r="E119" s="81"/>
      <c r="F119" s="285">
        <f>F3</f>
        <v>0</v>
      </c>
      <c r="G119" s="285"/>
      <c r="H119" s="285"/>
      <c r="I119" s="285"/>
      <c r="J119" s="286"/>
    </row>
    <row r="120" spans="1:10" ht="48" customHeight="1" x14ac:dyDescent="0.25">
      <c r="A120" s="291" t="s">
        <v>272</v>
      </c>
      <c r="B120" s="291"/>
      <c r="C120" s="291"/>
      <c r="D120" s="291"/>
      <c r="E120" s="81"/>
      <c r="F120" s="352"/>
      <c r="G120" s="352"/>
      <c r="H120" s="82" t="s">
        <v>278</v>
      </c>
      <c r="I120" s="352"/>
      <c r="J120" s="353"/>
    </row>
    <row r="121" spans="1:10" ht="31.5" customHeight="1" x14ac:dyDescent="0.25">
      <c r="A121" s="291" t="s">
        <v>273</v>
      </c>
      <c r="B121" s="291"/>
      <c r="C121" s="291"/>
      <c r="D121" s="291"/>
      <c r="E121" s="89"/>
      <c r="F121" s="367"/>
      <c r="G121" s="287"/>
      <c r="H121" s="287"/>
      <c r="I121" s="287"/>
      <c r="J121" s="288"/>
    </row>
    <row r="122" spans="1:10" x14ac:dyDescent="0.25">
      <c r="A122" s="296" t="s">
        <v>274</v>
      </c>
      <c r="B122" s="297"/>
      <c r="C122" s="297"/>
      <c r="D122" s="298"/>
      <c r="E122" s="365" t="s">
        <v>279</v>
      </c>
      <c r="F122" s="365"/>
      <c r="G122" s="365"/>
      <c r="H122" s="365"/>
      <c r="I122" s="365"/>
      <c r="J122" s="365"/>
    </row>
    <row r="123" spans="1:10" x14ac:dyDescent="0.25">
      <c r="A123" s="299"/>
      <c r="B123" s="300"/>
      <c r="C123" s="300"/>
      <c r="D123" s="301"/>
      <c r="E123" s="101"/>
      <c r="F123" s="365" t="s">
        <v>280</v>
      </c>
      <c r="G123" s="365"/>
      <c r="H123" s="365"/>
      <c r="I123" s="365"/>
      <c r="J123" s="365"/>
    </row>
    <row r="124" spans="1:10" x14ac:dyDescent="0.25">
      <c r="A124" s="299"/>
      <c r="B124" s="300"/>
      <c r="C124" s="300"/>
      <c r="D124" s="301"/>
      <c r="E124" s="101"/>
      <c r="F124" s="365" t="s">
        <v>281</v>
      </c>
      <c r="G124" s="365"/>
      <c r="H124" s="365"/>
      <c r="I124" s="365"/>
      <c r="J124" s="365"/>
    </row>
    <row r="125" spans="1:10" x14ac:dyDescent="0.25">
      <c r="A125" s="299"/>
      <c r="B125" s="300"/>
      <c r="C125" s="300"/>
      <c r="D125" s="301"/>
      <c r="E125" s="101"/>
      <c r="F125" s="365" t="s">
        <v>282</v>
      </c>
      <c r="G125" s="365"/>
      <c r="H125" s="365"/>
      <c r="I125" s="365"/>
      <c r="J125" s="365"/>
    </row>
    <row r="126" spans="1:10" ht="45.75" customHeight="1" x14ac:dyDescent="0.25">
      <c r="A126" s="299"/>
      <c r="B126" s="300"/>
      <c r="C126" s="300"/>
      <c r="D126" s="301"/>
      <c r="E126" s="133" t="s">
        <v>283</v>
      </c>
      <c r="F126" s="347"/>
      <c r="G126" s="348"/>
      <c r="H126" s="348"/>
      <c r="I126" s="348"/>
      <c r="J126" s="349"/>
    </row>
    <row r="127" spans="1:10" x14ac:dyDescent="0.25">
      <c r="A127" s="296" t="s">
        <v>275</v>
      </c>
      <c r="B127" s="297"/>
      <c r="C127" s="297"/>
      <c r="D127" s="298"/>
      <c r="E127" s="101"/>
      <c r="F127" s="350" t="s">
        <v>285</v>
      </c>
      <c r="G127" s="350"/>
      <c r="H127" s="350"/>
      <c r="I127" s="350"/>
      <c r="J127" s="350"/>
    </row>
    <row r="128" spans="1:10" ht="48" customHeight="1" x14ac:dyDescent="0.25">
      <c r="A128" s="299"/>
      <c r="B128" s="300"/>
      <c r="C128" s="300"/>
      <c r="D128" s="301"/>
      <c r="E128" s="101"/>
      <c r="F128" s="351" t="s">
        <v>286</v>
      </c>
      <c r="G128" s="351"/>
      <c r="H128" s="351"/>
      <c r="I128" s="351"/>
      <c r="J128" s="351"/>
    </row>
    <row r="129" spans="1:10" ht="45.75" customHeight="1" x14ac:dyDescent="0.25">
      <c r="A129" s="305"/>
      <c r="B129" s="306"/>
      <c r="C129" s="306"/>
      <c r="D129" s="307"/>
      <c r="E129" s="133" t="s">
        <v>283</v>
      </c>
      <c r="F129" s="274"/>
      <c r="G129" s="274"/>
      <c r="H129" s="274"/>
      <c r="I129" s="274"/>
      <c r="J129" s="274"/>
    </row>
    <row r="130" spans="1:10" ht="47.25" customHeight="1" x14ac:dyDescent="0.25">
      <c r="A130" s="275" t="s">
        <v>276</v>
      </c>
      <c r="B130" s="276"/>
      <c r="C130" s="276"/>
      <c r="D130" s="277"/>
      <c r="E130" s="89"/>
      <c r="F130" s="274"/>
      <c r="G130" s="274"/>
      <c r="H130" s="274"/>
      <c r="I130" s="274"/>
      <c r="J130" s="274"/>
    </row>
    <row r="131" spans="1:10" ht="25.5" customHeight="1" x14ac:dyDescent="0.25">
      <c r="A131" s="296" t="s">
        <v>284</v>
      </c>
      <c r="B131" s="297"/>
      <c r="C131" s="297"/>
      <c r="D131" s="298"/>
      <c r="E131" s="344" t="s">
        <v>287</v>
      </c>
      <c r="F131" s="344"/>
      <c r="G131" s="344"/>
      <c r="H131" s="344"/>
      <c r="I131" s="344"/>
      <c r="J131" s="344"/>
    </row>
    <row r="132" spans="1:10" x14ac:dyDescent="0.25">
      <c r="A132" s="299"/>
      <c r="B132" s="300"/>
      <c r="C132" s="300"/>
      <c r="D132" s="301"/>
      <c r="E132" s="101"/>
      <c r="F132" s="366" t="s">
        <v>288</v>
      </c>
      <c r="G132" s="366"/>
      <c r="H132" s="366"/>
      <c r="I132" s="366"/>
      <c r="J132" s="366"/>
    </row>
    <row r="133" spans="1:10" x14ac:dyDescent="0.25">
      <c r="A133" s="299"/>
      <c r="B133" s="300"/>
      <c r="C133" s="300"/>
      <c r="D133" s="301"/>
      <c r="E133" s="101"/>
      <c r="F133" s="366" t="s">
        <v>289</v>
      </c>
      <c r="G133" s="366"/>
      <c r="H133" s="366"/>
      <c r="I133" s="366"/>
      <c r="J133" s="366"/>
    </row>
    <row r="134" spans="1:10" x14ac:dyDescent="0.25">
      <c r="A134" s="299"/>
      <c r="B134" s="300"/>
      <c r="C134" s="300"/>
      <c r="D134" s="301"/>
      <c r="E134" s="101"/>
      <c r="F134" s="366" t="s">
        <v>290</v>
      </c>
      <c r="G134" s="366"/>
      <c r="H134" s="366"/>
      <c r="I134" s="366"/>
      <c r="J134" s="366"/>
    </row>
    <row r="135" spans="1:10" x14ac:dyDescent="0.25">
      <c r="A135" s="299"/>
      <c r="B135" s="300"/>
      <c r="C135" s="300"/>
      <c r="D135" s="301"/>
      <c r="E135" s="101"/>
      <c r="F135" s="366" t="s">
        <v>291</v>
      </c>
      <c r="G135" s="366"/>
      <c r="H135" s="366"/>
      <c r="I135" s="366"/>
      <c r="J135" s="366"/>
    </row>
    <row r="136" spans="1:10" ht="45.75" customHeight="1" x14ac:dyDescent="0.25">
      <c r="A136" s="305"/>
      <c r="B136" s="306"/>
      <c r="C136" s="306"/>
      <c r="D136" s="307"/>
      <c r="E136" s="133" t="s">
        <v>283</v>
      </c>
      <c r="F136" s="274"/>
      <c r="G136" s="274"/>
      <c r="H136" s="274"/>
      <c r="I136" s="274"/>
      <c r="J136" s="274"/>
    </row>
    <row r="137" spans="1:10" ht="45.75" customHeight="1" x14ac:dyDescent="0.25">
      <c r="A137" s="291" t="s">
        <v>277</v>
      </c>
      <c r="B137" s="291"/>
      <c r="C137" s="291"/>
      <c r="D137" s="291"/>
      <c r="E137" s="89"/>
      <c r="F137" s="364" t="s">
        <v>292</v>
      </c>
      <c r="G137" s="364"/>
      <c r="H137" s="364"/>
      <c r="I137" s="364"/>
      <c r="J137" s="364"/>
    </row>
    <row r="143" spans="1:10" ht="42" customHeight="1" x14ac:dyDescent="0.25">
      <c r="A143" s="208" t="s">
        <v>294</v>
      </c>
      <c r="B143" s="209"/>
      <c r="C143" s="209"/>
      <c r="D143" s="209"/>
      <c r="E143" s="209"/>
      <c r="F143" s="209"/>
      <c r="G143" s="209"/>
      <c r="H143" s="209"/>
      <c r="I143" s="209"/>
      <c r="J143" s="209"/>
    </row>
    <row r="145" spans="1:10" x14ac:dyDescent="0.25">
      <c r="A145" s="210" t="s">
        <v>203</v>
      </c>
      <c r="B145" s="210"/>
      <c r="C145" s="321" t="str">
        <f>C3&amp;"/"&amp;F3</f>
        <v>/</v>
      </c>
      <c r="D145" s="321"/>
      <c r="E145" s="321"/>
      <c r="F145" s="321"/>
      <c r="G145" s="212" t="s">
        <v>295</v>
      </c>
      <c r="H145" s="212"/>
      <c r="I145" s="212"/>
      <c r="J145" s="102">
        <f>'SGO #1(Tiered or Simple)'!D20</f>
        <v>0</v>
      </c>
    </row>
    <row r="146" spans="1:10" x14ac:dyDescent="0.25">
      <c r="A146" s="210" t="s">
        <v>204</v>
      </c>
      <c r="B146" s="210"/>
      <c r="C146" s="284">
        <f>C5</f>
        <v>0</v>
      </c>
      <c r="D146" s="284"/>
      <c r="E146" s="284"/>
      <c r="F146" s="284"/>
      <c r="G146" s="84"/>
      <c r="H146" s="77"/>
      <c r="I146" s="77"/>
    </row>
    <row r="147" spans="1:10" x14ac:dyDescent="0.25">
      <c r="A147" s="210" t="s">
        <v>205</v>
      </c>
      <c r="B147" s="210"/>
      <c r="C147" s="284">
        <f>C7</f>
        <v>0</v>
      </c>
      <c r="D147" s="284"/>
      <c r="E147" s="284"/>
      <c r="F147" s="284"/>
      <c r="G147" s="84"/>
      <c r="H147" s="77"/>
      <c r="I147" s="77"/>
    </row>
    <row r="148" spans="1:10" x14ac:dyDescent="0.25">
      <c r="G148" s="77"/>
      <c r="H148" s="77"/>
      <c r="I148" s="77"/>
    </row>
    <row r="149" spans="1:10" ht="27.75" customHeight="1" x14ac:dyDescent="0.25">
      <c r="A149" s="283" t="s">
        <v>296</v>
      </c>
      <c r="B149" s="283"/>
      <c r="C149" s="283"/>
      <c r="D149" s="283" t="s">
        <v>297</v>
      </c>
      <c r="E149" s="283"/>
      <c r="F149" s="283"/>
      <c r="G149" s="283" t="s">
        <v>298</v>
      </c>
      <c r="H149" s="283"/>
      <c r="I149" s="283"/>
      <c r="J149" s="283"/>
    </row>
    <row r="150" spans="1:10" ht="80.25" customHeight="1" x14ac:dyDescent="0.25">
      <c r="A150" s="270" t="s">
        <v>299</v>
      </c>
      <c r="B150" s="271"/>
      <c r="C150" s="271"/>
      <c r="D150" s="272" t="str">
        <f>IF('SGO #2(Tiered or Simple)'!D17=0,"",'SGO #2(Tiered or Simple)'!E17)</f>
        <v/>
      </c>
      <c r="E150" s="273"/>
      <c r="F150" s="273"/>
      <c r="G150" s="274"/>
      <c r="H150" s="274"/>
      <c r="I150" s="274"/>
      <c r="J150" s="274"/>
    </row>
    <row r="151" spans="1:10" ht="80.25" customHeight="1" x14ac:dyDescent="0.25">
      <c r="A151" s="270" t="s">
        <v>300</v>
      </c>
      <c r="B151" s="271"/>
      <c r="C151" s="271"/>
      <c r="D151" s="272" t="str">
        <f>IF('SGO #2(Tiered or Simple)'!D14=0,"",'SGO #2(Tiered or Simple)'!E14)</f>
        <v/>
      </c>
      <c r="E151" s="273"/>
      <c r="F151" s="273"/>
      <c r="G151" s="274"/>
      <c r="H151" s="274"/>
      <c r="I151" s="274"/>
      <c r="J151" s="274"/>
    </row>
    <row r="152" spans="1:10" ht="80.25" customHeight="1" x14ac:dyDescent="0.25">
      <c r="A152" s="270" t="s">
        <v>343</v>
      </c>
      <c r="B152" s="271"/>
      <c r="C152" s="271"/>
      <c r="D152" s="272" t="str">
        <f>IF('SGO #2(Tiered or Simple)'!D11=0,"",'SGO #2(Tiered or Simple)'!E11)</f>
        <v/>
      </c>
      <c r="E152" s="273"/>
      <c r="F152" s="273"/>
      <c r="G152" s="274"/>
      <c r="H152" s="274"/>
      <c r="I152" s="274"/>
      <c r="J152" s="274"/>
    </row>
    <row r="154" spans="1:10" x14ac:dyDescent="0.25">
      <c r="A154" s="210" t="s">
        <v>301</v>
      </c>
      <c r="B154" s="210"/>
      <c r="C154" s="210"/>
      <c r="D154" s="210"/>
      <c r="E154" s="210"/>
      <c r="F154" s="210"/>
      <c r="G154" s="210"/>
      <c r="H154" s="210"/>
      <c r="I154" s="210"/>
      <c r="J154" s="210"/>
    </row>
    <row r="155" spans="1:10" x14ac:dyDescent="0.25">
      <c r="A155" s="210" t="s">
        <v>302</v>
      </c>
      <c r="B155" s="210"/>
      <c r="C155" s="210"/>
      <c r="D155" s="210"/>
      <c r="E155" s="210"/>
      <c r="F155" s="210"/>
      <c r="G155" s="210"/>
      <c r="H155" s="210"/>
      <c r="I155" s="210"/>
      <c r="J155" s="210"/>
    </row>
    <row r="156" spans="1:10" ht="48.75" customHeight="1" x14ac:dyDescent="0.25">
      <c r="A156" s="265" t="s">
        <v>303</v>
      </c>
      <c r="B156" s="266"/>
      <c r="C156" s="266"/>
      <c r="D156" s="266"/>
      <c r="E156" s="266"/>
      <c r="F156" s="266"/>
      <c r="G156" s="266"/>
      <c r="H156" s="266"/>
      <c r="I156" s="266"/>
      <c r="J156" s="266"/>
    </row>
    <row r="158" spans="1:10" x14ac:dyDescent="0.25">
      <c r="A158" s="264" t="s">
        <v>304</v>
      </c>
      <c r="B158" s="264"/>
      <c r="C158" s="264"/>
      <c r="D158" s="264"/>
      <c r="E158" s="264"/>
      <c r="F158" s="264"/>
      <c r="G158" s="264"/>
      <c r="H158" s="264"/>
      <c r="I158" s="264"/>
      <c r="J158" s="264"/>
    </row>
    <row r="159" spans="1:10" ht="53.25" customHeight="1" x14ac:dyDescent="0.25">
      <c r="A159" s="265" t="s">
        <v>305</v>
      </c>
      <c r="B159" s="266"/>
      <c r="C159" s="266"/>
      <c r="D159" s="266"/>
      <c r="E159" s="266"/>
      <c r="F159" s="266"/>
      <c r="G159" s="266"/>
      <c r="H159" s="266"/>
      <c r="I159" s="266"/>
      <c r="J159" s="266"/>
    </row>
    <row r="161" spans="1:10" x14ac:dyDescent="0.25">
      <c r="A161" s="101"/>
      <c r="B161" s="267" t="s">
        <v>306</v>
      </c>
      <c r="C161" s="266"/>
      <c r="D161" s="266"/>
      <c r="E161" s="266"/>
      <c r="F161" s="266"/>
      <c r="G161" s="266"/>
      <c r="H161" s="266"/>
      <c r="I161" s="266"/>
      <c r="J161" s="266"/>
    </row>
    <row r="163" spans="1:10" x14ac:dyDescent="0.25">
      <c r="A163" s="187" t="s">
        <v>266</v>
      </c>
      <c r="B163" s="187"/>
      <c r="C163" s="187"/>
      <c r="D163" s="268"/>
      <c r="E163" s="268"/>
      <c r="F163" s="268"/>
      <c r="H163" t="s">
        <v>267</v>
      </c>
      <c r="I163" s="269"/>
      <c r="J163" s="269"/>
    </row>
    <row r="165" spans="1:10" x14ac:dyDescent="0.25">
      <c r="A165" s="187" t="s">
        <v>268</v>
      </c>
      <c r="B165" s="187"/>
      <c r="C165" s="187"/>
      <c r="D165" s="268"/>
      <c r="E165" s="268"/>
      <c r="F165" s="268"/>
      <c r="H165" t="s">
        <v>267</v>
      </c>
      <c r="I165" s="269"/>
      <c r="J165" s="269"/>
    </row>
    <row r="168" spans="1:10" s="130" customFormat="1" x14ac:dyDescent="0.25"/>
    <row r="169" spans="1:10" ht="42" customHeight="1" x14ac:dyDescent="0.25">
      <c r="A169" s="208" t="s">
        <v>346</v>
      </c>
      <c r="B169" s="209"/>
      <c r="C169" s="209"/>
      <c r="D169" s="209"/>
      <c r="E169" s="209"/>
      <c r="F169" s="209"/>
      <c r="G169" s="209"/>
      <c r="H169" s="209"/>
      <c r="I169" s="209"/>
      <c r="J169" s="209"/>
    </row>
    <row r="170" spans="1:10" ht="8.25" customHeight="1" x14ac:dyDescent="0.25"/>
    <row r="171" spans="1:10" x14ac:dyDescent="0.25">
      <c r="A171" s="233" t="s">
        <v>308</v>
      </c>
      <c r="B171" s="233"/>
      <c r="C171" s="233" t="s">
        <v>270</v>
      </c>
      <c r="D171" s="233"/>
      <c r="E171" s="233" t="s">
        <v>309</v>
      </c>
      <c r="F171" s="233"/>
      <c r="G171" s="233"/>
      <c r="H171" s="233" t="s">
        <v>310</v>
      </c>
      <c r="I171" s="233"/>
      <c r="J171" s="233"/>
    </row>
    <row r="172" spans="1:10" x14ac:dyDescent="0.25">
      <c r="A172" s="344">
        <f>C3</f>
        <v>0</v>
      </c>
      <c r="B172" s="344"/>
      <c r="C172" s="344">
        <f>F3</f>
        <v>0</v>
      </c>
      <c r="D172" s="344"/>
      <c r="E172" s="220">
        <f>J145</f>
        <v>0</v>
      </c>
      <c r="F172" s="220"/>
      <c r="G172" s="220"/>
      <c r="H172" s="88" t="s">
        <v>311</v>
      </c>
      <c r="I172" s="101"/>
      <c r="J172" s="88"/>
    </row>
    <row r="173" spans="1:10" x14ac:dyDescent="0.25">
      <c r="A173" s="344"/>
      <c r="B173" s="344"/>
      <c r="C173" s="344"/>
      <c r="D173" s="344"/>
      <c r="E173" s="220"/>
      <c r="F173" s="220"/>
      <c r="G173" s="220"/>
      <c r="H173" s="88" t="s">
        <v>312</v>
      </c>
      <c r="I173" s="101"/>
      <c r="J173" s="88"/>
    </row>
    <row r="174" spans="1:10" x14ac:dyDescent="0.25">
      <c r="A174" s="344"/>
      <c r="B174" s="344"/>
      <c r="C174" s="344"/>
      <c r="D174" s="344"/>
      <c r="E174" s="220"/>
      <c r="F174" s="220"/>
      <c r="G174" s="220"/>
      <c r="H174" s="88" t="s">
        <v>283</v>
      </c>
      <c r="I174" s="330"/>
      <c r="J174" s="330"/>
    </row>
    <row r="175" spans="1:10" x14ac:dyDescent="0.25">
      <c r="A175" s="234" t="s">
        <v>313</v>
      </c>
      <c r="B175" s="234"/>
      <c r="C175" s="217"/>
      <c r="D175" s="217"/>
      <c r="E175" s="217"/>
      <c r="F175" s="217"/>
      <c r="G175" s="217"/>
      <c r="H175" s="234" t="s">
        <v>315</v>
      </c>
      <c r="I175" s="79" t="s">
        <v>316</v>
      </c>
      <c r="J175" s="101"/>
    </row>
    <row r="176" spans="1:10" x14ac:dyDescent="0.25">
      <c r="A176" s="234"/>
      <c r="B176" s="234"/>
      <c r="C176" s="217"/>
      <c r="D176" s="217"/>
      <c r="E176" s="217"/>
      <c r="F176" s="217"/>
      <c r="G176" s="217"/>
      <c r="H176" s="234"/>
      <c r="I176" s="79" t="s">
        <v>317</v>
      </c>
      <c r="J176" s="101"/>
    </row>
    <row r="177" spans="1:10" ht="29.25" customHeight="1" x14ac:dyDescent="0.25">
      <c r="A177" s="225" t="s">
        <v>314</v>
      </c>
      <c r="B177" s="226"/>
      <c r="C177" s="226"/>
      <c r="D177" s="226"/>
      <c r="E177" s="226"/>
      <c r="F177" s="226"/>
      <c r="G177" s="226"/>
      <c r="H177" s="226"/>
      <c r="I177" s="226"/>
      <c r="J177" s="226"/>
    </row>
    <row r="178" spans="1:10" ht="88.5" customHeight="1" x14ac:dyDescent="0.25">
      <c r="A178" s="246"/>
      <c r="B178" s="246"/>
      <c r="C178" s="246"/>
      <c r="D178" s="246"/>
      <c r="E178" s="246"/>
      <c r="F178" s="246"/>
      <c r="G178" s="246"/>
      <c r="H178" s="246"/>
      <c r="I178" s="246"/>
      <c r="J178" s="246"/>
    </row>
    <row r="179" spans="1:10" x14ac:dyDescent="0.25">
      <c r="A179" s="228" t="s">
        <v>200</v>
      </c>
      <c r="B179" s="229"/>
      <c r="C179" s="229"/>
      <c r="D179" s="229"/>
      <c r="E179" s="229"/>
      <c r="F179" s="229"/>
      <c r="G179" s="229"/>
      <c r="H179" s="229"/>
      <c r="I179" s="229"/>
      <c r="J179" s="229"/>
    </row>
    <row r="180" spans="1:10" ht="39" customHeight="1" x14ac:dyDescent="0.25">
      <c r="A180" s="368" t="s">
        <v>347</v>
      </c>
      <c r="B180" s="369"/>
      <c r="C180" s="368" t="s">
        <v>348</v>
      </c>
      <c r="D180" s="368"/>
      <c r="E180" s="368" t="s">
        <v>350</v>
      </c>
      <c r="F180" s="368"/>
      <c r="G180" s="368"/>
      <c r="H180" s="368" t="s">
        <v>349</v>
      </c>
      <c r="I180" s="368"/>
      <c r="J180" s="368"/>
    </row>
    <row r="181" spans="1:10" x14ac:dyDescent="0.25">
      <c r="A181" s="370" t="s">
        <v>30</v>
      </c>
      <c r="B181" s="371"/>
      <c r="C181" s="341">
        <f>'SGO #2(Tiered or Simple)'!D11</f>
        <v>0</v>
      </c>
      <c r="D181" s="341"/>
      <c r="E181" s="341" t="str">
        <f>IF('SGO #2(Tiered or Simple)'!D11=0,"",IF('SGO #2(Tiered or Simple)'!T37=0,'SGO #2(Tiered or Simple)'!S37,'SGO #2(Tiered or Simple)'!U37))</f>
        <v/>
      </c>
      <c r="F181" s="341"/>
      <c r="G181" s="341"/>
      <c r="H181" s="342" t="str">
        <f>IF('SGO #2(Tiered or Simple)'!D11=0,"",'SGO #2(Tiered or Simple)'!I12)</f>
        <v/>
      </c>
      <c r="I181" s="342"/>
      <c r="J181" s="342"/>
    </row>
    <row r="182" spans="1:10" x14ac:dyDescent="0.25">
      <c r="A182" s="370" t="s">
        <v>192</v>
      </c>
      <c r="B182" s="371"/>
      <c r="C182" s="341">
        <f>'SGO #2(Tiered or Simple)'!D14</f>
        <v>0</v>
      </c>
      <c r="D182" s="341"/>
      <c r="E182" s="341" t="str">
        <f>IF('SGO #2(Tiered or Simple)'!D14=0,"",IF('SGO #2(Tiered or Simple)'!T38=0,'SGO #2(Tiered or Simple)'!S38,'SGO #2(Tiered or Simple)'!U38))</f>
        <v/>
      </c>
      <c r="F182" s="341"/>
      <c r="G182" s="341"/>
      <c r="H182" s="342" t="str">
        <f>IF('SGO #2(Tiered or Simple)'!D14=0,"",'SGO #2(Tiered or Simple)'!I15)</f>
        <v/>
      </c>
      <c r="I182" s="342"/>
      <c r="J182" s="342"/>
    </row>
    <row r="183" spans="1:10" x14ac:dyDescent="0.25">
      <c r="A183" s="370" t="s">
        <v>28</v>
      </c>
      <c r="B183" s="371"/>
      <c r="C183" s="341">
        <f>'SGO #2(Tiered or Simple)'!D17</f>
        <v>0</v>
      </c>
      <c r="D183" s="341"/>
      <c r="E183" s="341" t="str">
        <f>IF('SGO #2(Tiered or Simple)'!D17=0,"",IF('SGO #2(Tiered or Simple)'!T39=0,'SGO #2(Tiered or Simple)'!S39,'SGO #2(Tiered or Simple)'!U39))</f>
        <v/>
      </c>
      <c r="F183" s="341"/>
      <c r="G183" s="341"/>
      <c r="H183" s="342" t="str">
        <f>IF('SGO #2(Tiered or Simple)'!D17=0,"",'SGO #2(Tiered or Simple)'!I18)</f>
        <v/>
      </c>
      <c r="I183" s="342"/>
      <c r="J183" s="342"/>
    </row>
    <row r="184" spans="1:10" s="130" customFormat="1" ht="36" customHeight="1" x14ac:dyDescent="0.25">
      <c r="A184" s="343" t="s">
        <v>354</v>
      </c>
      <c r="B184" s="343"/>
      <c r="C184" s="343"/>
      <c r="D184" s="343"/>
      <c r="E184" s="343"/>
      <c r="F184" s="343"/>
      <c r="G184" s="343"/>
      <c r="H184" s="343"/>
      <c r="I184" s="343"/>
      <c r="J184" s="343"/>
    </row>
    <row r="185" spans="1:10" s="130" customFormat="1" ht="81" customHeight="1" x14ac:dyDescent="0.25">
      <c r="A185" s="323"/>
      <c r="B185" s="323"/>
      <c r="C185" s="323"/>
      <c r="D185" s="323"/>
      <c r="E185" s="323"/>
      <c r="F185" s="323"/>
      <c r="G185" s="323"/>
      <c r="H185" s="323"/>
      <c r="I185" s="323"/>
      <c r="J185" s="323"/>
    </row>
    <row r="186" spans="1:10" x14ac:dyDescent="0.25">
      <c r="A186" s="228" t="s">
        <v>198</v>
      </c>
      <c r="B186" s="229"/>
      <c r="C186" s="229"/>
      <c r="D186" s="229"/>
      <c r="E186" s="229"/>
      <c r="F186" s="229"/>
      <c r="G186" s="229"/>
      <c r="H186" s="229"/>
      <c r="I186" s="229"/>
      <c r="J186" s="229"/>
    </row>
    <row r="187" spans="1:10" ht="29.25" customHeight="1" x14ac:dyDescent="0.25">
      <c r="A187" s="225" t="s">
        <v>318</v>
      </c>
      <c r="B187" s="226"/>
      <c r="C187" s="226"/>
      <c r="D187" s="226"/>
      <c r="E187" s="226"/>
      <c r="F187" s="226"/>
      <c r="G187" s="226"/>
      <c r="H187" s="226"/>
      <c r="I187" s="226"/>
      <c r="J187" s="226"/>
    </row>
    <row r="188" spans="1:10" x14ac:dyDescent="0.25">
      <c r="A188" s="361" t="s">
        <v>342</v>
      </c>
      <c r="B188" s="361"/>
      <c r="C188" s="361" t="s">
        <v>319</v>
      </c>
      <c r="D188" s="361"/>
      <c r="E188" s="361" t="s">
        <v>320</v>
      </c>
      <c r="F188" s="361"/>
      <c r="G188" s="361" t="s">
        <v>321</v>
      </c>
      <c r="H188" s="361"/>
      <c r="I188" s="361" t="s">
        <v>199</v>
      </c>
      <c r="J188" s="361"/>
    </row>
    <row r="189" spans="1:10" x14ac:dyDescent="0.25">
      <c r="A189" s="271" t="s">
        <v>30</v>
      </c>
      <c r="B189" s="220" t="str">
        <f>IF('SGO #2(Tiered or Simple)'!D11=0,"",IF('SGO #2(Tiered or Simple)'!T37=0,'SGO #2(Tiered or Simple)'!S37,'SGO #2(Tiered or Simple)'!U37))</f>
        <v/>
      </c>
      <c r="C189" s="214" t="str">
        <f>IF('SGO #2(Tiered or Simple)'!D11=0,"",'SGO #2(Tiered or Simple)'!H11)</f>
        <v/>
      </c>
      <c r="D189" s="214"/>
      <c r="E189" s="227" t="str">
        <f>IF('SGO #2(Tiered or Simple)'!D11=0,"",'SGO #2(Tiered or Simple)'!I11)</f>
        <v/>
      </c>
      <c r="F189" s="214"/>
      <c r="G189" s="214" t="str">
        <f>IF('SGO #2(Tiered or Simple)'!D11=0,"",'SGO #2(Tiered or Simple)'!J11)</f>
        <v/>
      </c>
      <c r="H189" s="214"/>
      <c r="I189" s="214" t="str">
        <f>IF('SGO #2(Tiered or Simple)'!D11=0,"",'SGO #2(Tiered or Simple)'!K11)</f>
        <v/>
      </c>
      <c r="J189" s="214"/>
    </row>
    <row r="190" spans="1:10" x14ac:dyDescent="0.25">
      <c r="A190" s="271"/>
      <c r="B190" s="220"/>
      <c r="C190" s="214" t="str">
        <f>IF('SGO #2(Tiered or Simple)'!D11=0,"",'SGO #2(Tiered or Simple)'!H12)</f>
        <v/>
      </c>
      <c r="D190" s="214"/>
      <c r="E190" s="214" t="str">
        <f>IF('SGO #2(Tiered or Simple)'!D11=0,"",'SGO #2(Tiered or Simple)'!I12)</f>
        <v/>
      </c>
      <c r="F190" s="214"/>
      <c r="G190" s="214" t="str">
        <f>IF('SGO #2(Tiered or Simple)'!D11=0,"",'SGO #2(Tiered or Simple)'!J12)</f>
        <v/>
      </c>
      <c r="H190" s="214"/>
      <c r="I190" s="214" t="str">
        <f>IF('SGO #2(Tiered or Simple)'!D11=0,"",'SGO #2(Tiered or Simple)'!K12)</f>
        <v/>
      </c>
      <c r="J190" s="214"/>
    </row>
    <row r="191" spans="1:10" x14ac:dyDescent="0.25">
      <c r="A191" s="271" t="s">
        <v>192</v>
      </c>
      <c r="B191" s="220" t="str">
        <f>IF('SGO #2(Tiered or Simple)'!D14=0,"",IF('SGO #2(Tiered or Simple)'!T38=0,'SGO #2(Tiered or Simple)'!S38,'SGO #2(Tiered or Simple)'!U38))</f>
        <v/>
      </c>
      <c r="C191" s="214" t="str">
        <f>IF('SGO #2(Tiered or Simple)'!D14=0,"",'SGO #2(Tiered or Simple)'!H14)</f>
        <v/>
      </c>
      <c r="D191" s="214"/>
      <c r="E191" s="227" t="str">
        <f>IF('SGO #2(Tiered or Simple)'!D14=0,"",'SGO #2(Tiered or Simple)'!I14)</f>
        <v/>
      </c>
      <c r="F191" s="214"/>
      <c r="G191" s="214" t="str">
        <f>IF('SGO #2(Tiered or Simple)'!D14=0,"",'SGO #2(Tiered or Simple)'!J14)</f>
        <v/>
      </c>
      <c r="H191" s="214"/>
      <c r="I191" s="214" t="str">
        <f>IF('SGO #2(Tiered or Simple)'!D14=0,"",'SGO #2(Tiered or Simple)'!K14)</f>
        <v/>
      </c>
      <c r="J191" s="214"/>
    </row>
    <row r="192" spans="1:10" x14ac:dyDescent="0.25">
      <c r="A192" s="271"/>
      <c r="B192" s="220"/>
      <c r="C192" s="214" t="str">
        <f>IF('SGO #2(Tiered or Simple)'!D14=0,"",'SGO #2(Tiered or Simple)'!H15)</f>
        <v/>
      </c>
      <c r="D192" s="214"/>
      <c r="E192" s="214" t="str">
        <f>IF('SGO #2(Tiered or Simple)'!D14=0,"",'SGO #2(Tiered or Simple)'!I15)</f>
        <v/>
      </c>
      <c r="F192" s="214"/>
      <c r="G192" s="214" t="str">
        <f>IF('SGO #2(Tiered or Simple)'!D14=0,"",'SGO #2(Tiered or Simple)'!J15)</f>
        <v/>
      </c>
      <c r="H192" s="214"/>
      <c r="I192" s="214" t="str">
        <f>IF('SGO #2(Tiered or Simple)'!D14=0,"",'SGO #2(Tiered or Simple)'!K15)</f>
        <v/>
      </c>
      <c r="J192" s="214"/>
    </row>
    <row r="193" spans="1:10" x14ac:dyDescent="0.25">
      <c r="A193" s="271" t="s">
        <v>28</v>
      </c>
      <c r="B193" s="220" t="str">
        <f>IF('SGO #2(Tiered or Simple)'!D17=0,"",IF('SGO #2(Tiered or Simple)'!T39=0,'SGO #2(Tiered or Simple)'!S39,'SGO #2(Tiered or Simple)'!U39))</f>
        <v/>
      </c>
      <c r="C193" s="214" t="str">
        <f>IF('SGO #2(Tiered or Simple)'!D17=0,"",'SGO #2(Tiered or Simple)'!H17)</f>
        <v/>
      </c>
      <c r="D193" s="214"/>
      <c r="E193" s="227" t="str">
        <f>IF('SGO #2(Tiered or Simple)'!D17=0,"",'SGO #2(Tiered or Simple)'!I17)</f>
        <v/>
      </c>
      <c r="F193" s="214"/>
      <c r="G193" s="214" t="str">
        <f>IF('SGO #2(Tiered or Simple)'!D17=0,"",'SGO #2(Tiered or Simple)'!J17)</f>
        <v/>
      </c>
      <c r="H193" s="214"/>
      <c r="I193" s="214" t="str">
        <f>IF('SGO #2(Tiered or Simple)'!D17=0,"",'SGO #2(Tiered or Simple)'!K17)</f>
        <v/>
      </c>
      <c r="J193" s="214"/>
    </row>
    <row r="194" spans="1:10" x14ac:dyDescent="0.25">
      <c r="A194" s="271"/>
      <c r="B194" s="220"/>
      <c r="C194" s="214" t="str">
        <f>IF('SGO #2(Tiered or Simple)'!D17=0,"",'SGO #2(Tiered or Simple)'!H18)</f>
        <v/>
      </c>
      <c r="D194" s="214"/>
      <c r="E194" s="214" t="str">
        <f>IF('SGO #2(Tiered or Simple)'!D17=0,"",'SGO #2(Tiered or Simple)'!I18)</f>
        <v/>
      </c>
      <c r="F194" s="214"/>
      <c r="G194" s="214" t="str">
        <f>IF('SGO #2(Tiered or Simple)'!D17=0,"",'SGO #2(Tiered or Simple)'!J18)</f>
        <v/>
      </c>
      <c r="H194" s="214"/>
      <c r="I194" s="214" t="str">
        <f>IF('SGO #2(Tiered or Simple)'!D17=0,"",'SGO #2(Tiered or Simple)'!K18)</f>
        <v/>
      </c>
      <c r="J194" s="214"/>
    </row>
    <row r="195" spans="1:10" ht="29.25" customHeight="1" x14ac:dyDescent="0.25">
      <c r="A195" s="225" t="s">
        <v>322</v>
      </c>
      <c r="B195" s="226"/>
      <c r="C195" s="226"/>
      <c r="D195" s="226"/>
      <c r="E195" s="226"/>
      <c r="F195" s="226"/>
      <c r="G195" s="226"/>
      <c r="H195" s="226"/>
      <c r="I195" s="226"/>
      <c r="J195" s="226"/>
    </row>
    <row r="196" spans="1:10" ht="21" customHeight="1" x14ac:dyDescent="0.25">
      <c r="A196" s="79" t="s">
        <v>323</v>
      </c>
      <c r="B196" s="214">
        <f>C146</f>
        <v>0</v>
      </c>
      <c r="C196" s="214"/>
      <c r="D196" s="79" t="s">
        <v>324</v>
      </c>
      <c r="E196" s="215"/>
      <c r="F196" s="215"/>
      <c r="G196" s="216" t="s">
        <v>325</v>
      </c>
      <c r="H196" s="216"/>
      <c r="I196" s="330"/>
      <c r="J196" s="330"/>
    </row>
    <row r="197" spans="1:10" ht="21" customHeight="1" x14ac:dyDescent="0.25">
      <c r="A197" s="79" t="s">
        <v>326</v>
      </c>
      <c r="B197" s="214">
        <f>C147</f>
        <v>0</v>
      </c>
      <c r="C197" s="214"/>
      <c r="D197" s="79" t="s">
        <v>324</v>
      </c>
      <c r="E197" s="215"/>
      <c r="F197" s="215"/>
      <c r="G197" s="216" t="s">
        <v>327</v>
      </c>
      <c r="H197" s="216"/>
      <c r="I197" s="330"/>
      <c r="J197" s="330"/>
    </row>
    <row r="198" spans="1:10" ht="29.25" customHeight="1" x14ac:dyDescent="0.25">
      <c r="A198" s="218" t="s">
        <v>328</v>
      </c>
      <c r="B198" s="219"/>
      <c r="C198" s="219"/>
      <c r="D198" s="219"/>
      <c r="E198" s="219"/>
      <c r="F198" s="219"/>
      <c r="G198" s="219"/>
      <c r="H198" s="219"/>
      <c r="I198" s="219"/>
      <c r="J198" s="219"/>
    </row>
    <row r="199" spans="1:10" ht="48.75" customHeight="1" x14ac:dyDescent="0.25">
      <c r="A199" s="103" t="s">
        <v>195</v>
      </c>
      <c r="B199" s="124" t="s">
        <v>351</v>
      </c>
      <c r="C199" s="332" t="s">
        <v>352</v>
      </c>
      <c r="D199" s="332"/>
      <c r="E199" s="332" t="s">
        <v>353</v>
      </c>
      <c r="F199" s="332"/>
      <c r="G199" s="89" t="s">
        <v>323</v>
      </c>
      <c r="H199" s="220">
        <f>C146</f>
        <v>0</v>
      </c>
      <c r="I199" s="220"/>
      <c r="J199" s="220"/>
    </row>
    <row r="200" spans="1:10" ht="24" customHeight="1" x14ac:dyDescent="0.25">
      <c r="A200" s="122" t="s">
        <v>30</v>
      </c>
      <c r="B200" s="132" t="str">
        <f>IF('SGO #2(Tiered or Simple)'!D11=0,"",'SGO #2(Tiered or Simple)'!L12)</f>
        <v/>
      </c>
      <c r="C200" s="220" t="str">
        <f>IF('SGO #2(Tiered or Simple)'!D11=0,"",'SGO #2(Tiered or Simple)'!N11)</f>
        <v/>
      </c>
      <c r="D200" s="220"/>
      <c r="E200" s="333" t="e">
        <f>'SGO #2(Tiered or Simple)'!K4</f>
        <v>#DIV/0!</v>
      </c>
      <c r="F200" s="271"/>
      <c r="G200" s="89" t="s">
        <v>326</v>
      </c>
      <c r="H200" s="220">
        <f>C147</f>
        <v>0</v>
      </c>
      <c r="I200" s="220"/>
      <c r="J200" s="220"/>
    </row>
    <row r="201" spans="1:10" ht="24" customHeight="1" x14ac:dyDescent="0.25">
      <c r="A201" s="123" t="s">
        <v>192</v>
      </c>
      <c r="B201" s="131" t="str">
        <f>IF('SGO #2(Tiered or Simple)'!D14=0,"",'SGO #2(Tiered or Simple)'!L15)</f>
        <v/>
      </c>
      <c r="C201" s="271" t="str">
        <f>IF('SGO #2(Tiered or Simple)'!D14=0,"",'SGO #2(Tiered or Simple)'!N14)</f>
        <v/>
      </c>
      <c r="D201" s="271"/>
      <c r="E201" s="271"/>
      <c r="F201" s="271"/>
      <c r="G201" s="89" t="s">
        <v>330</v>
      </c>
      <c r="H201" s="331"/>
      <c r="I201" s="331"/>
      <c r="J201" s="331"/>
    </row>
    <row r="202" spans="1:10" ht="24" customHeight="1" x14ac:dyDescent="0.25">
      <c r="A202" s="123" t="s">
        <v>28</v>
      </c>
      <c r="B202" s="131" t="str">
        <f>IF('SGO #2(Tiered or Simple)'!D17=0,"",'SGO #2(Tiered or Simple)'!L18)</f>
        <v/>
      </c>
      <c r="C202" s="271" t="str">
        <f>IF('SGO #2(Tiered or Simple)'!D17=0,"",'SGO #2(Tiered or Simple)'!N17)</f>
        <v/>
      </c>
      <c r="D202" s="271"/>
      <c r="E202" s="271"/>
      <c r="F202" s="271"/>
      <c r="G202" s="89"/>
      <c r="H202" s="220"/>
      <c r="I202" s="220"/>
      <c r="J202" s="220"/>
    </row>
    <row r="203" spans="1:10" ht="42" customHeight="1" x14ac:dyDescent="0.25">
      <c r="A203" s="208" t="s">
        <v>331</v>
      </c>
      <c r="B203" s="209"/>
      <c r="C203" s="209"/>
      <c r="D203" s="209"/>
      <c r="E203" s="209"/>
      <c r="F203" s="209"/>
      <c r="G203" s="209"/>
      <c r="H203" s="209"/>
      <c r="I203" s="209"/>
      <c r="J203" s="209"/>
    </row>
    <row r="205" spans="1:10" ht="31.5" customHeight="1" x14ac:dyDescent="0.25">
      <c r="A205" s="210" t="s">
        <v>204</v>
      </c>
      <c r="B205" s="210"/>
      <c r="C205" s="222">
        <f>C146</f>
        <v>0</v>
      </c>
      <c r="D205" s="222"/>
      <c r="E205" s="222"/>
      <c r="F205" s="222"/>
      <c r="G205" s="212" t="s">
        <v>330</v>
      </c>
      <c r="H205" s="212"/>
      <c r="I205" s="223"/>
      <c r="J205" s="223"/>
    </row>
    <row r="206" spans="1:10" ht="31.5" customHeight="1" x14ac:dyDescent="0.25">
      <c r="A206" s="211" t="s">
        <v>332</v>
      </c>
      <c r="B206" s="211"/>
      <c r="C206" s="221" t="str">
        <f>C3&amp;"/"&amp;F3</f>
        <v>/</v>
      </c>
      <c r="D206" s="221"/>
      <c r="E206" s="221"/>
      <c r="F206" s="221"/>
      <c r="G206" s="84"/>
      <c r="H206" s="77"/>
      <c r="I206" s="77"/>
    </row>
    <row r="207" spans="1:10" ht="31.5" customHeight="1" x14ac:dyDescent="0.25">
      <c r="A207" s="210" t="s">
        <v>205</v>
      </c>
      <c r="B207" s="210"/>
      <c r="C207" s="221">
        <f>C147</f>
        <v>0</v>
      </c>
      <c r="D207" s="221"/>
      <c r="E207" s="221"/>
      <c r="F207" s="221"/>
      <c r="G207" s="84"/>
      <c r="H207" s="77"/>
      <c r="I207" s="77"/>
    </row>
    <row r="209" spans="1:10" ht="29.25" customHeight="1" x14ac:dyDescent="0.25">
      <c r="A209" s="213" t="s">
        <v>333</v>
      </c>
      <c r="B209" s="213"/>
      <c r="C209" s="213"/>
      <c r="D209" s="213"/>
      <c r="E209" s="213"/>
      <c r="F209" s="213"/>
      <c r="G209" s="213"/>
      <c r="H209" s="213"/>
      <c r="I209" s="213"/>
      <c r="J209" s="213"/>
    </row>
    <row r="211" spans="1:10" x14ac:dyDescent="0.25">
      <c r="A211" s="203" t="s">
        <v>334</v>
      </c>
      <c r="B211" s="203"/>
      <c r="C211" s="203"/>
      <c r="D211" s="203"/>
      <c r="E211" s="203"/>
      <c r="F211" s="203"/>
      <c r="G211" s="203"/>
      <c r="H211" s="203"/>
      <c r="I211" s="203"/>
      <c r="J211" s="203"/>
    </row>
    <row r="212" spans="1:10" ht="75" customHeight="1" x14ac:dyDescent="0.25">
      <c r="A212" s="204"/>
      <c r="B212" s="205"/>
      <c r="C212" s="205"/>
      <c r="D212" s="205"/>
      <c r="E212" s="205"/>
      <c r="F212" s="205"/>
      <c r="G212" s="205"/>
      <c r="H212" s="205"/>
      <c r="I212" s="205"/>
      <c r="J212" s="206"/>
    </row>
    <row r="213" spans="1:10" x14ac:dyDescent="0.25">
      <c r="A213" s="203" t="s">
        <v>335</v>
      </c>
      <c r="B213" s="203"/>
      <c r="C213" s="203"/>
      <c r="D213" s="203"/>
      <c r="E213" s="203"/>
      <c r="F213" s="203"/>
      <c r="G213" s="203"/>
      <c r="H213" s="203"/>
      <c r="I213" s="203"/>
      <c r="J213" s="203"/>
    </row>
    <row r="214" spans="1:10" ht="75" customHeight="1" x14ac:dyDescent="0.25">
      <c r="A214" s="204"/>
      <c r="B214" s="205"/>
      <c r="C214" s="205"/>
      <c r="D214" s="205"/>
      <c r="E214" s="205"/>
      <c r="F214" s="205"/>
      <c r="G214" s="205"/>
      <c r="H214" s="205"/>
      <c r="I214" s="205"/>
      <c r="J214" s="206"/>
    </row>
    <row r="215" spans="1:10" x14ac:dyDescent="0.25">
      <c r="A215" s="203" t="s">
        <v>336</v>
      </c>
      <c r="B215" s="203"/>
      <c r="C215" s="203"/>
      <c r="D215" s="203"/>
      <c r="E215" s="203"/>
      <c r="F215" s="203"/>
      <c r="G215" s="203"/>
      <c r="H215" s="203"/>
      <c r="I215" s="203"/>
      <c r="J215" s="203"/>
    </row>
    <row r="216" spans="1:10" ht="75" customHeight="1" x14ac:dyDescent="0.25">
      <c r="A216" s="204"/>
      <c r="B216" s="205"/>
      <c r="C216" s="205"/>
      <c r="D216" s="205"/>
      <c r="E216" s="205"/>
      <c r="F216" s="205"/>
      <c r="G216" s="205"/>
      <c r="H216" s="205"/>
      <c r="I216" s="205"/>
      <c r="J216" s="206"/>
    </row>
    <row r="217" spans="1:10" x14ac:dyDescent="0.25">
      <c r="A217" s="203" t="s">
        <v>337</v>
      </c>
      <c r="B217" s="203"/>
      <c r="C217" s="203"/>
      <c r="D217" s="203"/>
      <c r="E217" s="203"/>
      <c r="F217" s="203"/>
      <c r="G217" s="203"/>
      <c r="H217" s="203"/>
      <c r="I217" s="203"/>
      <c r="J217" s="203"/>
    </row>
    <row r="218" spans="1:10" ht="75" customHeight="1" x14ac:dyDescent="0.25">
      <c r="A218" s="204"/>
      <c r="B218" s="205"/>
      <c r="C218" s="205"/>
      <c r="D218" s="205"/>
      <c r="E218" s="205"/>
      <c r="F218" s="205"/>
      <c r="G218" s="205"/>
      <c r="H218" s="205"/>
      <c r="I218" s="205"/>
      <c r="J218" s="206"/>
    </row>
    <row r="219" spans="1:10" ht="17.25" customHeight="1" x14ac:dyDescent="0.25">
      <c r="A219" s="91"/>
      <c r="B219" s="91"/>
      <c r="C219" s="91"/>
      <c r="D219" s="91"/>
      <c r="E219" s="91"/>
      <c r="F219" s="91"/>
      <c r="G219" s="91"/>
      <c r="H219" s="91"/>
      <c r="I219" s="91"/>
      <c r="J219" s="91"/>
    </row>
    <row r="220" spans="1:10" ht="36.75" customHeight="1" x14ac:dyDescent="0.25">
      <c r="A220" s="207" t="s">
        <v>338</v>
      </c>
      <c r="B220" s="207"/>
      <c r="C220" s="207"/>
      <c r="D220" s="207"/>
      <c r="E220" s="207"/>
      <c r="F220" s="207"/>
      <c r="G220" s="207"/>
      <c r="H220" s="207"/>
      <c r="I220" s="207"/>
      <c r="J220" s="207"/>
    </row>
    <row r="221" spans="1:10" x14ac:dyDescent="0.25">
      <c r="A221" s="100"/>
      <c r="B221" s="100"/>
      <c r="C221" s="100"/>
      <c r="D221" s="100"/>
      <c r="E221" s="100"/>
      <c r="F221" s="100"/>
      <c r="G221" s="100"/>
      <c r="H221" s="100"/>
      <c r="I221" s="100"/>
      <c r="J221" s="100"/>
    </row>
  </sheetData>
  <sheetProtection password="CC4A" sheet="1" objects="1" scenarios="1" formatCells="0" formatRows="0" selectLockedCells="1"/>
  <mergeCells count="358">
    <mergeCell ref="A218:J218"/>
    <mergeCell ref="A220:J220"/>
    <mergeCell ref="A212:J212"/>
    <mergeCell ref="A213:J213"/>
    <mergeCell ref="A214:J214"/>
    <mergeCell ref="A215:J215"/>
    <mergeCell ref="A216:J216"/>
    <mergeCell ref="A217:J217"/>
    <mergeCell ref="A206:B206"/>
    <mergeCell ref="C206:F206"/>
    <mergeCell ref="A207:B207"/>
    <mergeCell ref="C207:F207"/>
    <mergeCell ref="A209:J209"/>
    <mergeCell ref="A211:J211"/>
    <mergeCell ref="H202:J202"/>
    <mergeCell ref="A203:J203"/>
    <mergeCell ref="A205:B205"/>
    <mergeCell ref="C205:F205"/>
    <mergeCell ref="G205:H205"/>
    <mergeCell ref="I205:J205"/>
    <mergeCell ref="A198:J198"/>
    <mergeCell ref="C199:D199"/>
    <mergeCell ref="E199:F199"/>
    <mergeCell ref="H199:J199"/>
    <mergeCell ref="C200:D200"/>
    <mergeCell ref="E200:F202"/>
    <mergeCell ref="H200:J200"/>
    <mergeCell ref="C201:D201"/>
    <mergeCell ref="H201:J201"/>
    <mergeCell ref="C202:D202"/>
    <mergeCell ref="B197:C197"/>
    <mergeCell ref="E197:F197"/>
    <mergeCell ref="G197:H197"/>
    <mergeCell ref="I197:J197"/>
    <mergeCell ref="I193:J193"/>
    <mergeCell ref="C194:D194"/>
    <mergeCell ref="E194:F194"/>
    <mergeCell ref="G194:H194"/>
    <mergeCell ref="I194:J194"/>
    <mergeCell ref="A195:J195"/>
    <mergeCell ref="A193:A194"/>
    <mergeCell ref="B193:B194"/>
    <mergeCell ref="C193:D193"/>
    <mergeCell ref="E193:F193"/>
    <mergeCell ref="G193:H193"/>
    <mergeCell ref="B196:C196"/>
    <mergeCell ref="E196:F196"/>
    <mergeCell ref="G196:H196"/>
    <mergeCell ref="I196:J196"/>
    <mergeCell ref="A191:A192"/>
    <mergeCell ref="B191:B192"/>
    <mergeCell ref="C191:D191"/>
    <mergeCell ref="E191:F191"/>
    <mergeCell ref="G191:H191"/>
    <mergeCell ref="I191:J191"/>
    <mergeCell ref="C192:D192"/>
    <mergeCell ref="E192:F192"/>
    <mergeCell ref="G192:H192"/>
    <mergeCell ref="I192:J192"/>
    <mergeCell ref="A188:B188"/>
    <mergeCell ref="C188:D188"/>
    <mergeCell ref="E188:F188"/>
    <mergeCell ref="G188:H188"/>
    <mergeCell ref="I188:J188"/>
    <mergeCell ref="A189:A190"/>
    <mergeCell ref="B189:B190"/>
    <mergeCell ref="C189:D189"/>
    <mergeCell ref="E189:F189"/>
    <mergeCell ref="G189:H189"/>
    <mergeCell ref="I189:J189"/>
    <mergeCell ref="C190:D190"/>
    <mergeCell ref="E190:F190"/>
    <mergeCell ref="G190:H190"/>
    <mergeCell ref="I190:J190"/>
    <mergeCell ref="A183:B183"/>
    <mergeCell ref="C183:D183"/>
    <mergeCell ref="E183:G183"/>
    <mergeCell ref="H183:J183"/>
    <mergeCell ref="A186:J186"/>
    <mergeCell ref="A187:J187"/>
    <mergeCell ref="A181:B181"/>
    <mergeCell ref="C181:D181"/>
    <mergeCell ref="E181:G181"/>
    <mergeCell ref="H181:J181"/>
    <mergeCell ref="A182:B182"/>
    <mergeCell ref="C182:D182"/>
    <mergeCell ref="E182:G182"/>
    <mergeCell ref="H182:J182"/>
    <mergeCell ref="A184:J184"/>
    <mergeCell ref="A185:J185"/>
    <mergeCell ref="A177:J177"/>
    <mergeCell ref="A178:J178"/>
    <mergeCell ref="A179:J179"/>
    <mergeCell ref="A180:B180"/>
    <mergeCell ref="C180:D180"/>
    <mergeCell ref="E180:G180"/>
    <mergeCell ref="H180:J180"/>
    <mergeCell ref="A172:B174"/>
    <mergeCell ref="C172:D174"/>
    <mergeCell ref="E172:G174"/>
    <mergeCell ref="I174:J174"/>
    <mergeCell ref="A175:B176"/>
    <mergeCell ref="C175:G176"/>
    <mergeCell ref="H175:H176"/>
    <mergeCell ref="A165:C165"/>
    <mergeCell ref="D165:F165"/>
    <mergeCell ref="I165:J165"/>
    <mergeCell ref="A169:J169"/>
    <mergeCell ref="A171:B171"/>
    <mergeCell ref="C171:D171"/>
    <mergeCell ref="E171:G171"/>
    <mergeCell ref="H171:J171"/>
    <mergeCell ref="A158:J158"/>
    <mergeCell ref="A159:J159"/>
    <mergeCell ref="B161:J161"/>
    <mergeCell ref="A163:C163"/>
    <mergeCell ref="D163:F163"/>
    <mergeCell ref="I163:J163"/>
    <mergeCell ref="A152:C152"/>
    <mergeCell ref="D152:F152"/>
    <mergeCell ref="G152:J152"/>
    <mergeCell ref="A154:J154"/>
    <mergeCell ref="A155:J155"/>
    <mergeCell ref="A156:J156"/>
    <mergeCell ref="G149:J149"/>
    <mergeCell ref="A150:C150"/>
    <mergeCell ref="D150:F150"/>
    <mergeCell ref="G150:J150"/>
    <mergeCell ref="A151:C151"/>
    <mergeCell ref="D151:F151"/>
    <mergeCell ref="G151:J151"/>
    <mergeCell ref="A146:B146"/>
    <mergeCell ref="C146:F146"/>
    <mergeCell ref="A147:B147"/>
    <mergeCell ref="C147:F147"/>
    <mergeCell ref="A149:C149"/>
    <mergeCell ref="D149:F149"/>
    <mergeCell ref="A137:D137"/>
    <mergeCell ref="F137:J137"/>
    <mergeCell ref="A143:J143"/>
    <mergeCell ref="A145:B145"/>
    <mergeCell ref="C145:F145"/>
    <mergeCell ref="G145:I145"/>
    <mergeCell ref="A131:D136"/>
    <mergeCell ref="E131:J131"/>
    <mergeCell ref="F132:J132"/>
    <mergeCell ref="F133:J133"/>
    <mergeCell ref="F134:J134"/>
    <mergeCell ref="F135:J135"/>
    <mergeCell ref="F136:J136"/>
    <mergeCell ref="F126:J126"/>
    <mergeCell ref="A127:D129"/>
    <mergeCell ref="F127:J127"/>
    <mergeCell ref="F128:J128"/>
    <mergeCell ref="F129:J129"/>
    <mergeCell ref="A130:D130"/>
    <mergeCell ref="F130:J130"/>
    <mergeCell ref="A120:D120"/>
    <mergeCell ref="F120:G120"/>
    <mergeCell ref="I120:J120"/>
    <mergeCell ref="A121:D121"/>
    <mergeCell ref="F121:J121"/>
    <mergeCell ref="A122:D126"/>
    <mergeCell ref="E122:J122"/>
    <mergeCell ref="F123:J123"/>
    <mergeCell ref="F124:J124"/>
    <mergeCell ref="F125:J125"/>
    <mergeCell ref="A115:J115"/>
    <mergeCell ref="A117:D117"/>
    <mergeCell ref="F117:J117"/>
    <mergeCell ref="A118:D118"/>
    <mergeCell ref="F118:J118"/>
    <mergeCell ref="A119:D119"/>
    <mergeCell ref="F119:J119"/>
    <mergeCell ref="B104:J104"/>
    <mergeCell ref="B106:J106"/>
    <mergeCell ref="A108:C108"/>
    <mergeCell ref="D108:F108"/>
    <mergeCell ref="I108:J108"/>
    <mergeCell ref="A110:C110"/>
    <mergeCell ref="D110:F110"/>
    <mergeCell ref="I110:J110"/>
    <mergeCell ref="A96:B101"/>
    <mergeCell ref="D96:J96"/>
    <mergeCell ref="D97:J97"/>
    <mergeCell ref="D98:J98"/>
    <mergeCell ref="D99:J99"/>
    <mergeCell ref="D100:J100"/>
    <mergeCell ref="A91:B95"/>
    <mergeCell ref="D91:J91"/>
    <mergeCell ref="D92:J92"/>
    <mergeCell ref="D93:J93"/>
    <mergeCell ref="D94:J94"/>
    <mergeCell ref="C95:D95"/>
    <mergeCell ref="E95:J95"/>
    <mergeCell ref="C101:D101"/>
    <mergeCell ref="E101:J101"/>
    <mergeCell ref="A85:B85"/>
    <mergeCell ref="C85:J85"/>
    <mergeCell ref="A86:B90"/>
    <mergeCell ref="D86:J86"/>
    <mergeCell ref="D87:J87"/>
    <mergeCell ref="D88:J88"/>
    <mergeCell ref="D89:J89"/>
    <mergeCell ref="A81:B81"/>
    <mergeCell ref="C81:G81"/>
    <mergeCell ref="A82:B82"/>
    <mergeCell ref="C82:G82"/>
    <mergeCell ref="A83:B83"/>
    <mergeCell ref="C83:G83"/>
    <mergeCell ref="C90:D90"/>
    <mergeCell ref="E90:J90"/>
    <mergeCell ref="A77:B77"/>
    <mergeCell ref="C77:D77"/>
    <mergeCell ref="E77:F77"/>
    <mergeCell ref="G77:H77"/>
    <mergeCell ref="I77:J77"/>
    <mergeCell ref="A79:J79"/>
    <mergeCell ref="A75:B75"/>
    <mergeCell ref="C75:D75"/>
    <mergeCell ref="E75:F75"/>
    <mergeCell ref="G75:H75"/>
    <mergeCell ref="I75:J75"/>
    <mergeCell ref="A76:B76"/>
    <mergeCell ref="C76:D76"/>
    <mergeCell ref="E76:F76"/>
    <mergeCell ref="G76:H76"/>
    <mergeCell ref="I76:J76"/>
    <mergeCell ref="A73:B73"/>
    <mergeCell ref="C73:D73"/>
    <mergeCell ref="E73:F73"/>
    <mergeCell ref="G73:H73"/>
    <mergeCell ref="I73:J73"/>
    <mergeCell ref="A74:B74"/>
    <mergeCell ref="C74:D74"/>
    <mergeCell ref="E74:F74"/>
    <mergeCell ref="G74:H74"/>
    <mergeCell ref="I74:J74"/>
    <mergeCell ref="A66:J66"/>
    <mergeCell ref="A68:B68"/>
    <mergeCell ref="C68:G68"/>
    <mergeCell ref="A70:B70"/>
    <mergeCell ref="C70:G70"/>
    <mergeCell ref="A72:J72"/>
    <mergeCell ref="A64:B64"/>
    <mergeCell ref="C64:F64"/>
    <mergeCell ref="G64:J64"/>
    <mergeCell ref="A65:B65"/>
    <mergeCell ref="C65:F65"/>
    <mergeCell ref="G65:J65"/>
    <mergeCell ref="A62:B62"/>
    <mergeCell ref="C62:F62"/>
    <mergeCell ref="G62:J62"/>
    <mergeCell ref="A63:B63"/>
    <mergeCell ref="C63:F63"/>
    <mergeCell ref="G63:J63"/>
    <mergeCell ref="A60:B60"/>
    <mergeCell ref="C60:F60"/>
    <mergeCell ref="G60:J60"/>
    <mergeCell ref="A61:B61"/>
    <mergeCell ref="C61:F61"/>
    <mergeCell ref="G61:J61"/>
    <mergeCell ref="A58:B58"/>
    <mergeCell ref="C58:F58"/>
    <mergeCell ref="G58:J58"/>
    <mergeCell ref="A59:B59"/>
    <mergeCell ref="C59:F59"/>
    <mergeCell ref="G59:J59"/>
    <mergeCell ref="A56:B56"/>
    <mergeCell ref="C56:F56"/>
    <mergeCell ref="G56:J56"/>
    <mergeCell ref="A57:B57"/>
    <mergeCell ref="C57:F57"/>
    <mergeCell ref="G57:J57"/>
    <mergeCell ref="A54:B54"/>
    <mergeCell ref="C54:F54"/>
    <mergeCell ref="G54:J54"/>
    <mergeCell ref="A55:B55"/>
    <mergeCell ref="C55:F55"/>
    <mergeCell ref="G55:J55"/>
    <mergeCell ref="A52:B52"/>
    <mergeCell ref="C52:F52"/>
    <mergeCell ref="G52:J52"/>
    <mergeCell ref="A53:B53"/>
    <mergeCell ref="C53:F53"/>
    <mergeCell ref="G53:J53"/>
    <mergeCell ref="A36:B36"/>
    <mergeCell ref="C36:F36"/>
    <mergeCell ref="G36:J36"/>
    <mergeCell ref="A51:B51"/>
    <mergeCell ref="C51:F51"/>
    <mergeCell ref="G51:J51"/>
    <mergeCell ref="A31:B31"/>
    <mergeCell ref="C31:G31"/>
    <mergeCell ref="A33:J33"/>
    <mergeCell ref="A35:B35"/>
    <mergeCell ref="C35:F35"/>
    <mergeCell ref="G35:J35"/>
    <mergeCell ref="A37:B37"/>
    <mergeCell ref="A38:B38"/>
    <mergeCell ref="A39:B39"/>
    <mergeCell ref="A40:B40"/>
    <mergeCell ref="A41:B41"/>
    <mergeCell ref="A42:B42"/>
    <mergeCell ref="A43:B43"/>
    <mergeCell ref="A44:B44"/>
    <mergeCell ref="A45:B45"/>
    <mergeCell ref="A46:B46"/>
    <mergeCell ref="A47:B47"/>
    <mergeCell ref="A48:B48"/>
    <mergeCell ref="A27:J27"/>
    <mergeCell ref="A29:B29"/>
    <mergeCell ref="C29:G29"/>
    <mergeCell ref="A7:B7"/>
    <mergeCell ref="C7:G7"/>
    <mergeCell ref="A9:J9"/>
    <mergeCell ref="A10:J10"/>
    <mergeCell ref="A11:J11"/>
    <mergeCell ref="A13:J13"/>
    <mergeCell ref="A1:J1"/>
    <mergeCell ref="A3:B3"/>
    <mergeCell ref="C3:D3"/>
    <mergeCell ref="F3:G3"/>
    <mergeCell ref="A5:B5"/>
    <mergeCell ref="C5:G5"/>
    <mergeCell ref="A15:J15"/>
    <mergeCell ref="A23:J23"/>
    <mergeCell ref="A25:J25"/>
    <mergeCell ref="A49:B49"/>
    <mergeCell ref="A50:B50"/>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G46:J46"/>
    <mergeCell ref="G47:J47"/>
    <mergeCell ref="G48:J48"/>
    <mergeCell ref="G49:J49"/>
    <mergeCell ref="G50:J50"/>
    <mergeCell ref="G37:J37"/>
    <mergeCell ref="G38:J38"/>
    <mergeCell ref="G39:J39"/>
    <mergeCell ref="G40:J40"/>
    <mergeCell ref="G41:J41"/>
    <mergeCell ref="G42:J42"/>
    <mergeCell ref="G43:J43"/>
    <mergeCell ref="G44:J44"/>
    <mergeCell ref="G45:J45"/>
  </mergeCells>
  <dataValidations disablePrompts="1" count="1">
    <dataValidation type="list" allowBlank="1" showInputMessage="1" showErrorMessage="1" sqref="C86:C89 C91:C94 C96:C100 A104 A106 E123:E125 E132:E135 E127:E128 A161 I172:I173 J175:J176">
      <formula1>"---,X"</formula1>
    </dataValidation>
  </dataValidations>
  <pageMargins left="0.7" right="0.7" top="0.92708333333333337" bottom="0.75" header="0.3" footer="0.3"/>
  <pageSetup scale="98" fitToHeight="0" orientation="portrait" horizontalDpi="300" r:id="rId1"/>
  <headerFooter>
    <oddHeader>&amp;L
&amp;CSGO#2 TIERED (AVERAGE)</oddHeader>
  </headerFooter>
  <rowBreaks count="8" manualBreakCount="8">
    <brk id="25" max="16383" man="1"/>
    <brk id="65" max="16383" man="1"/>
    <brk id="78" max="16383" man="1"/>
    <brk id="113" max="16383" man="1"/>
    <brk id="141" max="16383" man="1"/>
    <brk id="168" max="16383" man="1"/>
    <brk id="185" max="16383" man="1"/>
    <brk id="20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39997558519241921"/>
    <pageSetUpPr fitToPage="1"/>
  </sheetPr>
  <dimension ref="A1:J222"/>
  <sheetViews>
    <sheetView view="pageLayout" zoomScaleNormal="100" workbookViewId="0">
      <selection activeCell="C3" sqref="C3:D3"/>
    </sheetView>
  </sheetViews>
  <sheetFormatPr defaultRowHeight="15" x14ac:dyDescent="0.25"/>
  <sheetData>
    <row r="1" spans="1:10" ht="42.75" customHeight="1" x14ac:dyDescent="0.25">
      <c r="A1" s="208" t="s">
        <v>341</v>
      </c>
      <c r="B1" s="326"/>
      <c r="C1" s="326"/>
      <c r="D1" s="326"/>
      <c r="E1" s="326"/>
      <c r="F1" s="326"/>
      <c r="G1" s="326"/>
      <c r="H1" s="326"/>
      <c r="I1" s="326"/>
      <c r="J1" s="326"/>
    </row>
    <row r="3" spans="1:10" x14ac:dyDescent="0.25">
      <c r="A3" s="210" t="s">
        <v>340</v>
      </c>
      <c r="B3" s="210"/>
      <c r="C3" s="223"/>
      <c r="D3" s="223"/>
      <c r="E3" s="84" t="s">
        <v>339</v>
      </c>
      <c r="F3" s="223"/>
      <c r="G3" s="223"/>
    </row>
    <row r="4" spans="1:10" x14ac:dyDescent="0.25">
      <c r="A4" s="99"/>
      <c r="B4" s="99"/>
      <c r="C4" s="73"/>
    </row>
    <row r="5" spans="1:10" x14ac:dyDescent="0.25">
      <c r="A5" s="210" t="s">
        <v>204</v>
      </c>
      <c r="B5" s="210"/>
      <c r="C5" s="223"/>
      <c r="D5" s="223"/>
      <c r="E5" s="223"/>
      <c r="F5" s="223"/>
      <c r="G5" s="223"/>
    </row>
    <row r="6" spans="1:10" x14ac:dyDescent="0.25">
      <c r="A6" s="99"/>
      <c r="B6" s="99"/>
      <c r="C6" s="73"/>
    </row>
    <row r="7" spans="1:10" x14ac:dyDescent="0.25">
      <c r="A7" s="210" t="s">
        <v>205</v>
      </c>
      <c r="B7" s="210"/>
      <c r="C7" s="223"/>
      <c r="D7" s="223"/>
      <c r="E7" s="223"/>
      <c r="F7" s="223"/>
      <c r="G7" s="223"/>
    </row>
    <row r="9" spans="1:10" ht="54" customHeight="1" x14ac:dyDescent="0.25">
      <c r="A9" s="207" t="s">
        <v>206</v>
      </c>
      <c r="B9" s="207"/>
      <c r="C9" s="207"/>
      <c r="D9" s="207"/>
      <c r="E9" s="207"/>
      <c r="F9" s="207"/>
      <c r="G9" s="207"/>
      <c r="H9" s="207"/>
      <c r="I9" s="207"/>
      <c r="J9" s="207"/>
    </row>
    <row r="10" spans="1:10" ht="11.25" customHeight="1" x14ac:dyDescent="0.25">
      <c r="A10" s="207"/>
      <c r="B10" s="207"/>
      <c r="C10" s="207"/>
      <c r="D10" s="207"/>
      <c r="E10" s="207"/>
      <c r="F10" s="207"/>
      <c r="G10" s="207"/>
      <c r="H10" s="207"/>
      <c r="I10" s="207"/>
      <c r="J10" s="207"/>
    </row>
    <row r="11" spans="1:10" ht="63.75" customHeight="1" x14ac:dyDescent="0.25">
      <c r="A11" s="207" t="s">
        <v>207</v>
      </c>
      <c r="B11" s="207"/>
      <c r="C11" s="207"/>
      <c r="D11" s="207"/>
      <c r="E11" s="207"/>
      <c r="F11" s="207"/>
      <c r="G11" s="207"/>
      <c r="H11" s="207"/>
      <c r="I11" s="207"/>
      <c r="J11" s="207"/>
    </row>
    <row r="12" spans="1:10" ht="10.5" customHeight="1" x14ac:dyDescent="0.25">
      <c r="A12" s="74"/>
      <c r="B12" s="74"/>
      <c r="C12" s="74"/>
      <c r="D12" s="74"/>
      <c r="E12" s="74"/>
      <c r="F12" s="74"/>
      <c r="G12" s="74"/>
      <c r="H12" s="74"/>
      <c r="I12" s="74"/>
      <c r="J12" s="74"/>
    </row>
    <row r="13" spans="1:10" ht="67.5" customHeight="1" x14ac:dyDescent="0.25">
      <c r="A13" s="207" t="s">
        <v>208</v>
      </c>
      <c r="B13" s="207"/>
      <c r="C13" s="207"/>
      <c r="D13" s="207"/>
      <c r="E13" s="207"/>
      <c r="F13" s="207"/>
      <c r="G13" s="207"/>
      <c r="H13" s="207"/>
      <c r="I13" s="207"/>
      <c r="J13" s="207"/>
    </row>
    <row r="14" spans="1:10" ht="9.75" customHeight="1" x14ac:dyDescent="0.25">
      <c r="A14" s="74"/>
      <c r="B14" s="74"/>
      <c r="C14" s="74"/>
      <c r="D14" s="74"/>
      <c r="E14" s="74"/>
      <c r="F14" s="74"/>
      <c r="G14" s="74"/>
      <c r="H14" s="74"/>
      <c r="I14" s="74"/>
      <c r="J14" s="74"/>
    </row>
    <row r="15" spans="1:10" ht="55.5" customHeight="1" x14ac:dyDescent="0.25">
      <c r="A15" s="207" t="s">
        <v>209</v>
      </c>
      <c r="B15" s="207"/>
      <c r="C15" s="207"/>
      <c r="D15" s="207"/>
      <c r="E15" s="207"/>
      <c r="F15" s="207"/>
      <c r="G15" s="207"/>
      <c r="H15" s="207"/>
      <c r="I15" s="207"/>
      <c r="J15" s="207"/>
    </row>
    <row r="16" spans="1:10" ht="8.25" customHeight="1" x14ac:dyDescent="0.25">
      <c r="A16" s="74"/>
      <c r="B16" s="74"/>
      <c r="C16" s="74"/>
      <c r="D16" s="74"/>
      <c r="E16" s="74"/>
      <c r="F16" s="74"/>
      <c r="G16" s="74"/>
      <c r="H16" s="74"/>
      <c r="I16" s="74"/>
      <c r="J16" s="74"/>
    </row>
    <row r="17" spans="1:10" x14ac:dyDescent="0.25">
      <c r="A17" s="76" t="s">
        <v>210</v>
      </c>
      <c r="B17" s="74"/>
      <c r="C17" s="74"/>
      <c r="D17" s="74"/>
      <c r="E17" s="74"/>
      <c r="F17" s="74"/>
      <c r="G17" s="74"/>
      <c r="H17" s="74"/>
      <c r="I17" s="74"/>
      <c r="J17" s="74"/>
    </row>
    <row r="18" spans="1:10" x14ac:dyDescent="0.25">
      <c r="A18" s="76" t="s">
        <v>211</v>
      </c>
      <c r="B18" s="74"/>
      <c r="C18" s="74"/>
      <c r="D18" s="74"/>
      <c r="E18" s="74"/>
      <c r="F18" s="74"/>
      <c r="G18" s="74"/>
      <c r="H18" s="74"/>
      <c r="I18" s="74"/>
      <c r="J18" s="74"/>
    </row>
    <row r="19" spans="1:10" x14ac:dyDescent="0.25">
      <c r="A19" s="76" t="s">
        <v>212</v>
      </c>
      <c r="B19" s="74"/>
      <c r="C19" s="74"/>
      <c r="D19" s="74"/>
      <c r="E19" s="74"/>
      <c r="F19" s="74"/>
      <c r="G19" s="74"/>
      <c r="H19" s="74"/>
      <c r="I19" s="74"/>
      <c r="J19" s="74"/>
    </row>
    <row r="20" spans="1:10" x14ac:dyDescent="0.25">
      <c r="A20" s="76" t="s">
        <v>213</v>
      </c>
      <c r="B20" s="74"/>
      <c r="C20" s="74"/>
      <c r="D20" s="74"/>
      <c r="E20" s="74"/>
      <c r="F20" s="74"/>
      <c r="G20" s="74"/>
      <c r="H20" s="74"/>
      <c r="I20" s="74"/>
      <c r="J20" s="74"/>
    </row>
    <row r="21" spans="1:10" x14ac:dyDescent="0.25">
      <c r="A21" s="76" t="s">
        <v>214</v>
      </c>
      <c r="B21" s="74"/>
      <c r="C21" s="74"/>
      <c r="D21" s="74"/>
      <c r="E21" s="74"/>
      <c r="F21" s="74"/>
      <c r="G21" s="74"/>
      <c r="H21" s="74"/>
      <c r="I21" s="74"/>
      <c r="J21" s="74"/>
    </row>
    <row r="22" spans="1:10" ht="10.5" customHeight="1" x14ac:dyDescent="0.25">
      <c r="A22" s="74"/>
      <c r="B22" s="74"/>
      <c r="C22" s="74"/>
      <c r="D22" s="74"/>
      <c r="E22" s="74"/>
      <c r="F22" s="74"/>
      <c r="G22" s="74"/>
      <c r="H22" s="74"/>
      <c r="I22" s="74"/>
      <c r="J22" s="74"/>
    </row>
    <row r="23" spans="1:10" ht="34.5" customHeight="1" x14ac:dyDescent="0.25">
      <c r="A23" s="207" t="s">
        <v>215</v>
      </c>
      <c r="B23" s="207"/>
      <c r="C23" s="207"/>
      <c r="D23" s="207"/>
      <c r="E23" s="207"/>
      <c r="F23" s="207"/>
      <c r="G23" s="207"/>
      <c r="H23" s="207"/>
      <c r="I23" s="207"/>
      <c r="J23" s="207"/>
    </row>
    <row r="24" spans="1:10" ht="9.75" customHeight="1" x14ac:dyDescent="0.25">
      <c r="A24" s="74"/>
      <c r="B24" s="74"/>
      <c r="C24" s="74"/>
      <c r="D24" s="74"/>
      <c r="E24" s="74"/>
      <c r="F24" s="74"/>
      <c r="G24" s="74"/>
      <c r="H24" s="74"/>
      <c r="I24" s="74"/>
      <c r="J24" s="74"/>
    </row>
    <row r="25" spans="1:10" ht="51.75" customHeight="1" x14ac:dyDescent="0.25">
      <c r="A25" s="207" t="s">
        <v>216</v>
      </c>
      <c r="B25" s="207"/>
      <c r="C25" s="207"/>
      <c r="D25" s="207"/>
      <c r="E25" s="207"/>
      <c r="F25" s="207"/>
      <c r="G25" s="207"/>
      <c r="H25" s="207"/>
      <c r="I25" s="207"/>
      <c r="J25" s="207"/>
    </row>
    <row r="26" spans="1:10" x14ac:dyDescent="0.25">
      <c r="A26" s="74"/>
      <c r="B26" s="74"/>
      <c r="C26" s="74"/>
      <c r="D26" s="74"/>
      <c r="E26" s="74"/>
      <c r="F26" s="74"/>
      <c r="G26" s="74"/>
      <c r="H26" s="74"/>
      <c r="I26" s="74"/>
      <c r="J26" s="74"/>
    </row>
    <row r="27" spans="1:10" ht="41.25" customHeight="1" x14ac:dyDescent="0.25">
      <c r="A27" s="208" t="s">
        <v>217</v>
      </c>
      <c r="B27" s="208"/>
      <c r="C27" s="208"/>
      <c r="D27" s="208"/>
      <c r="E27" s="208"/>
      <c r="F27" s="208"/>
      <c r="G27" s="208"/>
      <c r="H27" s="208"/>
      <c r="I27" s="208"/>
      <c r="J27" s="208"/>
    </row>
    <row r="28" spans="1:10" x14ac:dyDescent="0.25">
      <c r="A28" s="74"/>
      <c r="B28" s="74"/>
      <c r="C28" s="74"/>
      <c r="D28" s="74"/>
      <c r="E28" s="74"/>
      <c r="F28" s="74"/>
      <c r="G28" s="74"/>
      <c r="H28" s="74"/>
      <c r="I28" s="74"/>
      <c r="J28" s="74"/>
    </row>
    <row r="29" spans="1:10" x14ac:dyDescent="0.25">
      <c r="A29" s="210" t="s">
        <v>203</v>
      </c>
      <c r="B29" s="210"/>
      <c r="C29" s="327">
        <f>C3</f>
        <v>0</v>
      </c>
      <c r="D29" s="327"/>
      <c r="E29" s="327"/>
      <c r="F29" s="327"/>
      <c r="G29" s="327"/>
    </row>
    <row r="30" spans="1:10" x14ac:dyDescent="0.25">
      <c r="A30" s="99"/>
      <c r="B30" s="99"/>
      <c r="C30" s="95"/>
      <c r="D30" s="64"/>
      <c r="E30" s="64"/>
      <c r="F30" s="64"/>
      <c r="G30" s="64"/>
    </row>
    <row r="31" spans="1:10" x14ac:dyDescent="0.25">
      <c r="A31" s="210" t="s">
        <v>204</v>
      </c>
      <c r="B31" s="210"/>
      <c r="C31" s="321">
        <f>C5</f>
        <v>0</v>
      </c>
      <c r="D31" s="321"/>
      <c r="E31" s="321"/>
      <c r="F31" s="321"/>
      <c r="G31" s="321"/>
    </row>
    <row r="33" spans="1:10" ht="63" customHeight="1" x14ac:dyDescent="0.25">
      <c r="A33" s="207" t="s">
        <v>218</v>
      </c>
      <c r="B33" s="207"/>
      <c r="C33" s="207"/>
      <c r="D33" s="207"/>
      <c r="E33" s="207"/>
      <c r="F33" s="207"/>
      <c r="G33" s="207"/>
      <c r="H33" s="207"/>
      <c r="I33" s="207"/>
      <c r="J33" s="207"/>
    </row>
    <row r="35" spans="1:10" ht="30.75" customHeight="1" x14ac:dyDescent="0.25">
      <c r="A35" s="328" t="s">
        <v>219</v>
      </c>
      <c r="B35" s="328"/>
      <c r="C35" s="328" t="s">
        <v>220</v>
      </c>
      <c r="D35" s="328"/>
      <c r="E35" s="328"/>
      <c r="F35" s="328"/>
      <c r="G35" s="328" t="s">
        <v>221</v>
      </c>
      <c r="H35" s="328"/>
      <c r="I35" s="328"/>
      <c r="J35" s="328"/>
    </row>
    <row r="36" spans="1:10" ht="24" customHeight="1" x14ac:dyDescent="0.25">
      <c r="A36" s="217"/>
      <c r="B36" s="217"/>
      <c r="C36" s="217"/>
      <c r="D36" s="217"/>
      <c r="E36" s="217"/>
      <c r="F36" s="217"/>
      <c r="G36" s="217"/>
      <c r="H36" s="217"/>
      <c r="I36" s="217"/>
      <c r="J36" s="217"/>
    </row>
    <row r="37" spans="1:10" s="121" customFormat="1" ht="24" customHeight="1" x14ac:dyDescent="0.25">
      <c r="A37" s="247"/>
      <c r="B37" s="248"/>
      <c r="C37" s="247"/>
      <c r="D37" s="329"/>
      <c r="E37" s="329"/>
      <c r="F37" s="248"/>
      <c r="G37" s="247"/>
      <c r="H37" s="329"/>
      <c r="I37" s="329"/>
      <c r="J37" s="248"/>
    </row>
    <row r="38" spans="1:10" s="121" customFormat="1" ht="24" customHeight="1" x14ac:dyDescent="0.25">
      <c r="A38" s="247"/>
      <c r="B38" s="248"/>
      <c r="C38" s="247"/>
      <c r="D38" s="329"/>
      <c r="E38" s="329"/>
      <c r="F38" s="248"/>
      <c r="G38" s="247"/>
      <c r="H38" s="329"/>
      <c r="I38" s="329"/>
      <c r="J38" s="248"/>
    </row>
    <row r="39" spans="1:10" s="121" customFormat="1" ht="24" customHeight="1" x14ac:dyDescent="0.25">
      <c r="A39" s="247"/>
      <c r="B39" s="248"/>
      <c r="C39" s="247"/>
      <c r="D39" s="329"/>
      <c r="E39" s="329"/>
      <c r="F39" s="248"/>
      <c r="G39" s="247"/>
      <c r="H39" s="329"/>
      <c r="I39" s="329"/>
      <c r="J39" s="248"/>
    </row>
    <row r="40" spans="1:10" s="121" customFormat="1" ht="24" customHeight="1" x14ac:dyDescent="0.25">
      <c r="A40" s="247"/>
      <c r="B40" s="248"/>
      <c r="C40" s="247"/>
      <c r="D40" s="329"/>
      <c r="E40" s="329"/>
      <c r="F40" s="248"/>
      <c r="G40" s="247"/>
      <c r="H40" s="329"/>
      <c r="I40" s="329"/>
      <c r="J40" s="248"/>
    </row>
    <row r="41" spans="1:10" s="121" customFormat="1" ht="24" customHeight="1" x14ac:dyDescent="0.25">
      <c r="A41" s="247"/>
      <c r="B41" s="248"/>
      <c r="C41" s="247"/>
      <c r="D41" s="329"/>
      <c r="E41" s="329"/>
      <c r="F41" s="248"/>
      <c r="G41" s="247"/>
      <c r="H41" s="329"/>
      <c r="I41" s="329"/>
      <c r="J41" s="248"/>
    </row>
    <row r="42" spans="1:10" s="121" customFormat="1" ht="24" customHeight="1" x14ac:dyDescent="0.25">
      <c r="A42" s="247"/>
      <c r="B42" s="248"/>
      <c r="C42" s="247"/>
      <c r="D42" s="329"/>
      <c r="E42" s="329"/>
      <c r="F42" s="248"/>
      <c r="G42" s="247"/>
      <c r="H42" s="329"/>
      <c r="I42" s="329"/>
      <c r="J42" s="248"/>
    </row>
    <row r="43" spans="1:10" s="121" customFormat="1" ht="24" customHeight="1" x14ac:dyDescent="0.25">
      <c r="A43" s="247"/>
      <c r="B43" s="248"/>
      <c r="C43" s="247"/>
      <c r="D43" s="329"/>
      <c r="E43" s="329"/>
      <c r="F43" s="248"/>
      <c r="G43" s="247"/>
      <c r="H43" s="329"/>
      <c r="I43" s="329"/>
      <c r="J43" s="248"/>
    </row>
    <row r="44" spans="1:10" s="121" customFormat="1" ht="24" customHeight="1" x14ac:dyDescent="0.25">
      <c r="A44" s="247"/>
      <c r="B44" s="248"/>
      <c r="C44" s="247"/>
      <c r="D44" s="329"/>
      <c r="E44" s="329"/>
      <c r="F44" s="248"/>
      <c r="G44" s="247"/>
      <c r="H44" s="329"/>
      <c r="I44" s="329"/>
      <c r="J44" s="248"/>
    </row>
    <row r="45" spans="1:10" s="121" customFormat="1" ht="24" customHeight="1" x14ac:dyDescent="0.25">
      <c r="A45" s="247"/>
      <c r="B45" s="248"/>
      <c r="C45" s="247"/>
      <c r="D45" s="329"/>
      <c r="E45" s="329"/>
      <c r="F45" s="248"/>
      <c r="G45" s="247"/>
      <c r="H45" s="329"/>
      <c r="I45" s="329"/>
      <c r="J45" s="248"/>
    </row>
    <row r="46" spans="1:10" s="121" customFormat="1" ht="24" customHeight="1" x14ac:dyDescent="0.25">
      <c r="A46" s="247"/>
      <c r="B46" s="248"/>
      <c r="C46" s="247"/>
      <c r="D46" s="329"/>
      <c r="E46" s="329"/>
      <c r="F46" s="248"/>
      <c r="G46" s="247"/>
      <c r="H46" s="329"/>
      <c r="I46" s="329"/>
      <c r="J46" s="248"/>
    </row>
    <row r="47" spans="1:10" s="121" customFormat="1" ht="24" customHeight="1" x14ac:dyDescent="0.25">
      <c r="A47" s="247"/>
      <c r="B47" s="248"/>
      <c r="C47" s="247"/>
      <c r="D47" s="329"/>
      <c r="E47" s="329"/>
      <c r="F47" s="248"/>
      <c r="G47" s="247"/>
      <c r="H47" s="329"/>
      <c r="I47" s="329"/>
      <c r="J47" s="248"/>
    </row>
    <row r="48" spans="1:10" s="121" customFormat="1" ht="24" customHeight="1" x14ac:dyDescent="0.25">
      <c r="A48" s="247"/>
      <c r="B48" s="248"/>
      <c r="C48" s="247"/>
      <c r="D48" s="329"/>
      <c r="E48" s="329"/>
      <c r="F48" s="248"/>
      <c r="G48" s="247"/>
      <c r="H48" s="329"/>
      <c r="I48" s="329"/>
      <c r="J48" s="248"/>
    </row>
    <row r="49" spans="1:10" s="121" customFormat="1" ht="24" customHeight="1" x14ac:dyDescent="0.25">
      <c r="A49" s="247"/>
      <c r="B49" s="248"/>
      <c r="C49" s="247"/>
      <c r="D49" s="329"/>
      <c r="E49" s="329"/>
      <c r="F49" s="248"/>
      <c r="G49" s="247"/>
      <c r="H49" s="329"/>
      <c r="I49" s="329"/>
      <c r="J49" s="248"/>
    </row>
    <row r="50" spans="1:10" s="121" customFormat="1" ht="24" customHeight="1" x14ac:dyDescent="0.25">
      <c r="A50" s="247"/>
      <c r="B50" s="248"/>
      <c r="C50" s="247"/>
      <c r="D50" s="329"/>
      <c r="E50" s="329"/>
      <c r="F50" s="248"/>
      <c r="G50" s="247"/>
      <c r="H50" s="329"/>
      <c r="I50" s="329"/>
      <c r="J50" s="248"/>
    </row>
    <row r="51" spans="1:10" ht="24" customHeight="1" x14ac:dyDescent="0.25">
      <c r="A51" s="217"/>
      <c r="B51" s="217"/>
      <c r="C51" s="217"/>
      <c r="D51" s="217"/>
      <c r="E51" s="217"/>
      <c r="F51" s="217"/>
      <c r="G51" s="217"/>
      <c r="H51" s="217"/>
      <c r="I51" s="217"/>
      <c r="J51" s="217"/>
    </row>
    <row r="52" spans="1:10" ht="24" customHeight="1" x14ac:dyDescent="0.25">
      <c r="A52" s="217"/>
      <c r="B52" s="217"/>
      <c r="C52" s="217"/>
      <c r="D52" s="217"/>
      <c r="E52" s="217"/>
      <c r="F52" s="217"/>
      <c r="G52" s="217"/>
      <c r="H52" s="217"/>
      <c r="I52" s="217"/>
      <c r="J52" s="217"/>
    </row>
    <row r="53" spans="1:10" ht="24" customHeight="1" x14ac:dyDescent="0.25">
      <c r="A53" s="217"/>
      <c r="B53" s="217"/>
      <c r="C53" s="217"/>
      <c r="D53" s="217"/>
      <c r="E53" s="217"/>
      <c r="F53" s="217"/>
      <c r="G53" s="217"/>
      <c r="H53" s="217"/>
      <c r="I53" s="217"/>
      <c r="J53" s="217"/>
    </row>
    <row r="54" spans="1:10" ht="24" customHeight="1" x14ac:dyDescent="0.25">
      <c r="A54" s="217"/>
      <c r="B54" s="217"/>
      <c r="C54" s="217"/>
      <c r="D54" s="217"/>
      <c r="E54" s="217"/>
      <c r="F54" s="217"/>
      <c r="G54" s="217"/>
      <c r="H54" s="217"/>
      <c r="I54" s="217"/>
      <c r="J54" s="217"/>
    </row>
    <row r="55" spans="1:10" ht="24" customHeight="1" x14ac:dyDescent="0.25">
      <c r="A55" s="217"/>
      <c r="B55" s="217"/>
      <c r="C55" s="217"/>
      <c r="D55" s="217"/>
      <c r="E55" s="217"/>
      <c r="F55" s="217"/>
      <c r="G55" s="217"/>
      <c r="H55" s="217"/>
      <c r="I55" s="217"/>
      <c r="J55" s="217"/>
    </row>
    <row r="56" spans="1:10" ht="24" customHeight="1" x14ac:dyDescent="0.25">
      <c r="A56" s="217"/>
      <c r="B56" s="217"/>
      <c r="C56" s="217"/>
      <c r="D56" s="217"/>
      <c r="E56" s="217"/>
      <c r="F56" s="217"/>
      <c r="G56" s="217"/>
      <c r="H56" s="217"/>
      <c r="I56" s="217"/>
      <c r="J56" s="217"/>
    </row>
    <row r="57" spans="1:10" ht="24" customHeight="1" x14ac:dyDescent="0.25">
      <c r="A57" s="217"/>
      <c r="B57" s="217"/>
      <c r="C57" s="217"/>
      <c r="D57" s="217"/>
      <c r="E57" s="217"/>
      <c r="F57" s="217"/>
      <c r="G57" s="217"/>
      <c r="H57" s="217"/>
      <c r="I57" s="217"/>
      <c r="J57" s="217"/>
    </row>
    <row r="58" spans="1:10" ht="24" customHeight="1" x14ac:dyDescent="0.25">
      <c r="A58" s="217"/>
      <c r="B58" s="217"/>
      <c r="C58" s="217"/>
      <c r="D58" s="217"/>
      <c r="E58" s="217"/>
      <c r="F58" s="217"/>
      <c r="G58" s="217"/>
      <c r="H58" s="217"/>
      <c r="I58" s="217"/>
      <c r="J58" s="217"/>
    </row>
    <row r="59" spans="1:10" ht="24" customHeight="1" x14ac:dyDescent="0.25">
      <c r="A59" s="217"/>
      <c r="B59" s="217"/>
      <c r="C59" s="217"/>
      <c r="D59" s="217"/>
      <c r="E59" s="217"/>
      <c r="F59" s="217"/>
      <c r="G59" s="217"/>
      <c r="H59" s="217"/>
      <c r="I59" s="217"/>
      <c r="J59" s="217"/>
    </row>
    <row r="60" spans="1:10" ht="24" customHeight="1" x14ac:dyDescent="0.25">
      <c r="A60" s="217"/>
      <c r="B60" s="217"/>
      <c r="C60" s="217"/>
      <c r="D60" s="217"/>
      <c r="E60" s="217"/>
      <c r="F60" s="217"/>
      <c r="G60" s="217"/>
      <c r="H60" s="217"/>
      <c r="I60" s="217"/>
      <c r="J60" s="217"/>
    </row>
    <row r="61" spans="1:10" ht="24" customHeight="1" x14ac:dyDescent="0.25">
      <c r="A61" s="217"/>
      <c r="B61" s="217"/>
      <c r="C61" s="217"/>
      <c r="D61" s="217"/>
      <c r="E61" s="217"/>
      <c r="F61" s="217"/>
      <c r="G61" s="217"/>
      <c r="H61" s="217"/>
      <c r="I61" s="217"/>
      <c r="J61" s="217"/>
    </row>
    <row r="62" spans="1:10" ht="24" customHeight="1" x14ac:dyDescent="0.25">
      <c r="A62" s="217"/>
      <c r="B62" s="217"/>
      <c r="C62" s="217"/>
      <c r="D62" s="217"/>
      <c r="E62" s="217"/>
      <c r="F62" s="217"/>
      <c r="G62" s="217"/>
      <c r="H62" s="217"/>
      <c r="I62" s="217"/>
      <c r="J62" s="217"/>
    </row>
    <row r="63" spans="1:10" ht="24" customHeight="1" x14ac:dyDescent="0.25">
      <c r="A63" s="217"/>
      <c r="B63" s="217"/>
      <c r="C63" s="217"/>
      <c r="D63" s="217"/>
      <c r="E63" s="217"/>
      <c r="F63" s="217"/>
      <c r="G63" s="217"/>
      <c r="H63" s="217"/>
      <c r="I63" s="217"/>
      <c r="J63" s="217"/>
    </row>
    <row r="64" spans="1:10" ht="24" customHeight="1" x14ac:dyDescent="0.25">
      <c r="A64" s="217"/>
      <c r="B64" s="217"/>
      <c r="C64" s="217"/>
      <c r="D64" s="217"/>
      <c r="E64" s="217"/>
      <c r="F64" s="217"/>
      <c r="G64" s="217"/>
      <c r="H64" s="217"/>
      <c r="I64" s="217"/>
      <c r="J64" s="217"/>
    </row>
    <row r="65" spans="1:10" ht="24" customHeight="1" x14ac:dyDescent="0.25">
      <c r="A65" s="217"/>
      <c r="B65" s="217"/>
      <c r="C65" s="217"/>
      <c r="D65" s="217"/>
      <c r="E65" s="217"/>
      <c r="F65" s="217"/>
      <c r="G65" s="217"/>
      <c r="H65" s="217"/>
      <c r="I65" s="217"/>
      <c r="J65" s="217"/>
    </row>
    <row r="66" spans="1:10" ht="40.5" customHeight="1" x14ac:dyDescent="0.25">
      <c r="A66" s="208" t="s">
        <v>222</v>
      </c>
      <c r="B66" s="209"/>
      <c r="C66" s="209"/>
      <c r="D66" s="209"/>
      <c r="E66" s="209"/>
      <c r="F66" s="209"/>
      <c r="G66" s="209"/>
      <c r="H66" s="209"/>
      <c r="I66" s="209"/>
      <c r="J66" s="209"/>
    </row>
    <row r="68" spans="1:10" x14ac:dyDescent="0.25">
      <c r="A68" s="210" t="s">
        <v>203</v>
      </c>
      <c r="B68" s="210"/>
      <c r="C68" s="321" t="str">
        <f>C3&amp;"/"&amp;F3</f>
        <v>/</v>
      </c>
      <c r="D68" s="321"/>
      <c r="E68" s="321"/>
      <c r="F68" s="321"/>
      <c r="G68" s="321"/>
    </row>
    <row r="69" spans="1:10" x14ac:dyDescent="0.25">
      <c r="A69" s="99"/>
      <c r="B69" s="99"/>
      <c r="C69" s="73"/>
    </row>
    <row r="70" spans="1:10" x14ac:dyDescent="0.25">
      <c r="A70" s="210" t="s">
        <v>204</v>
      </c>
      <c r="B70" s="210"/>
      <c r="C70" s="321">
        <f>C5</f>
        <v>0</v>
      </c>
      <c r="D70" s="321"/>
      <c r="E70" s="321"/>
      <c r="F70" s="321"/>
      <c r="G70" s="321"/>
    </row>
    <row r="72" spans="1:10" ht="49.5" customHeight="1" x14ac:dyDescent="0.25">
      <c r="A72" s="207" t="s">
        <v>223</v>
      </c>
      <c r="B72" s="207"/>
      <c r="C72" s="207"/>
      <c r="D72" s="207"/>
      <c r="E72" s="207"/>
      <c r="F72" s="207"/>
      <c r="G72" s="207"/>
      <c r="H72" s="207"/>
      <c r="I72" s="207"/>
      <c r="J72" s="207"/>
    </row>
    <row r="73" spans="1:10" ht="45.75" customHeight="1" x14ac:dyDescent="0.25">
      <c r="A73" s="325" t="s">
        <v>224</v>
      </c>
      <c r="B73" s="325"/>
      <c r="C73" s="325" t="s">
        <v>225</v>
      </c>
      <c r="D73" s="325"/>
      <c r="E73" s="325" t="s">
        <v>226</v>
      </c>
      <c r="F73" s="325"/>
      <c r="G73" s="325" t="s">
        <v>227</v>
      </c>
      <c r="H73" s="325"/>
      <c r="I73" s="325" t="s">
        <v>221</v>
      </c>
      <c r="J73" s="325"/>
    </row>
    <row r="74" spans="1:10" ht="115.5" customHeight="1" x14ac:dyDescent="0.25">
      <c r="A74" s="322" t="s">
        <v>228</v>
      </c>
      <c r="B74" s="322"/>
      <c r="C74" s="291" t="s">
        <v>232</v>
      </c>
      <c r="D74" s="291"/>
      <c r="E74" s="291" t="s">
        <v>236</v>
      </c>
      <c r="F74" s="291"/>
      <c r="G74" s="291" t="s">
        <v>237</v>
      </c>
      <c r="H74" s="291"/>
      <c r="I74" s="323"/>
      <c r="J74" s="323"/>
    </row>
    <row r="75" spans="1:10" ht="115.5" customHeight="1" x14ac:dyDescent="0.25">
      <c r="A75" s="322" t="s">
        <v>229</v>
      </c>
      <c r="B75" s="322"/>
      <c r="C75" s="291" t="s">
        <v>233</v>
      </c>
      <c r="D75" s="291"/>
      <c r="E75" s="291" t="s">
        <v>238</v>
      </c>
      <c r="F75" s="291"/>
      <c r="G75" s="291" t="s">
        <v>239</v>
      </c>
      <c r="H75" s="291"/>
      <c r="I75" s="323"/>
      <c r="J75" s="323"/>
    </row>
    <row r="76" spans="1:10" ht="115.5" customHeight="1" x14ac:dyDescent="0.25">
      <c r="A76" s="322" t="s">
        <v>230</v>
      </c>
      <c r="B76" s="322"/>
      <c r="C76" s="291" t="s">
        <v>234</v>
      </c>
      <c r="D76" s="291"/>
      <c r="E76" s="291" t="s">
        <v>240</v>
      </c>
      <c r="F76" s="291"/>
      <c r="G76" s="291" t="s">
        <v>241</v>
      </c>
      <c r="H76" s="291"/>
      <c r="I76" s="323"/>
      <c r="J76" s="323"/>
    </row>
    <row r="77" spans="1:10" ht="115.5" customHeight="1" x14ac:dyDescent="0.25">
      <c r="A77" s="322" t="s">
        <v>231</v>
      </c>
      <c r="B77" s="322"/>
      <c r="C77" s="324" t="s">
        <v>235</v>
      </c>
      <c r="D77" s="324"/>
      <c r="E77" s="291" t="s">
        <v>242</v>
      </c>
      <c r="F77" s="291"/>
      <c r="G77" s="291" t="s">
        <v>243</v>
      </c>
      <c r="H77" s="291"/>
      <c r="I77" s="323"/>
      <c r="J77" s="323"/>
    </row>
    <row r="79" spans="1:10" ht="44.25" customHeight="1" x14ac:dyDescent="0.25">
      <c r="A79" s="208" t="s">
        <v>244</v>
      </c>
      <c r="B79" s="209"/>
      <c r="C79" s="209"/>
      <c r="D79" s="209"/>
      <c r="E79" s="209"/>
      <c r="F79" s="209"/>
      <c r="G79" s="209"/>
      <c r="H79" s="209"/>
      <c r="I79" s="209"/>
      <c r="J79" s="209"/>
    </row>
    <row r="80" spans="1:10" ht="10.5" customHeight="1" x14ac:dyDescent="0.25"/>
    <row r="81" spans="1:10" x14ac:dyDescent="0.25">
      <c r="A81" s="210" t="s">
        <v>203</v>
      </c>
      <c r="B81" s="210"/>
      <c r="C81" s="321" t="str">
        <f>C3&amp;"/"&amp;F3</f>
        <v>/</v>
      </c>
      <c r="D81" s="321"/>
      <c r="E81" s="321"/>
      <c r="F81" s="321"/>
      <c r="G81" s="321"/>
    </row>
    <row r="82" spans="1:10" x14ac:dyDescent="0.25">
      <c r="A82" s="210" t="s">
        <v>204</v>
      </c>
      <c r="B82" s="210"/>
      <c r="C82" s="321">
        <f>C5</f>
        <v>0</v>
      </c>
      <c r="D82" s="321"/>
      <c r="E82" s="321"/>
      <c r="F82" s="321"/>
      <c r="G82" s="321"/>
    </row>
    <row r="83" spans="1:10" x14ac:dyDescent="0.25">
      <c r="A83" s="210" t="s">
        <v>205</v>
      </c>
      <c r="B83" s="210"/>
      <c r="C83" s="321">
        <f>C7</f>
        <v>0</v>
      </c>
      <c r="D83" s="321"/>
      <c r="E83" s="321"/>
      <c r="F83" s="321"/>
      <c r="G83" s="321"/>
    </row>
    <row r="84" spans="1:10" ht="10.5" customHeight="1" x14ac:dyDescent="0.25"/>
    <row r="85" spans="1:10" x14ac:dyDescent="0.25">
      <c r="A85" s="316" t="s">
        <v>245</v>
      </c>
      <c r="B85" s="316"/>
      <c r="C85" s="316" t="s">
        <v>246</v>
      </c>
      <c r="D85" s="316"/>
      <c r="E85" s="316"/>
      <c r="F85" s="316"/>
      <c r="G85" s="316"/>
      <c r="H85" s="316"/>
      <c r="I85" s="316"/>
      <c r="J85" s="316"/>
    </row>
    <row r="86" spans="1:10" x14ac:dyDescent="0.25">
      <c r="A86" s="317" t="s">
        <v>252</v>
      </c>
      <c r="B86" s="317"/>
      <c r="C86" s="101"/>
      <c r="D86" s="318" t="s">
        <v>247</v>
      </c>
      <c r="E86" s="318"/>
      <c r="F86" s="318"/>
      <c r="G86" s="318"/>
      <c r="H86" s="318"/>
      <c r="I86" s="318"/>
      <c r="J86" s="318"/>
    </row>
    <row r="87" spans="1:10" s="78" customFormat="1" ht="39.75" customHeight="1" x14ac:dyDescent="0.25">
      <c r="A87" s="317"/>
      <c r="B87" s="317"/>
      <c r="C87" s="101"/>
      <c r="D87" s="319" t="s">
        <v>248</v>
      </c>
      <c r="E87" s="319"/>
      <c r="F87" s="319"/>
      <c r="G87" s="319"/>
      <c r="H87" s="319"/>
      <c r="I87" s="319"/>
      <c r="J87" s="319"/>
    </row>
    <row r="88" spans="1:10" ht="32.25" customHeight="1" x14ac:dyDescent="0.25">
      <c r="A88" s="317"/>
      <c r="B88" s="317"/>
      <c r="C88" s="101"/>
      <c r="D88" s="319" t="s">
        <v>249</v>
      </c>
      <c r="E88" s="319"/>
      <c r="F88" s="319"/>
      <c r="G88" s="319"/>
      <c r="H88" s="319"/>
      <c r="I88" s="319"/>
      <c r="J88" s="319"/>
    </row>
    <row r="89" spans="1:10" x14ac:dyDescent="0.25">
      <c r="A89" s="317"/>
      <c r="B89" s="317"/>
      <c r="C89" s="101"/>
      <c r="D89" s="320" t="s">
        <v>250</v>
      </c>
      <c r="E89" s="320"/>
      <c r="F89" s="320"/>
      <c r="G89" s="320"/>
      <c r="H89" s="320"/>
      <c r="I89" s="320"/>
      <c r="J89" s="320"/>
    </row>
    <row r="90" spans="1:10" x14ac:dyDescent="0.25">
      <c r="A90" s="317"/>
      <c r="B90" s="317"/>
      <c r="C90" s="312" t="s">
        <v>251</v>
      </c>
      <c r="D90" s="312"/>
      <c r="E90" s="354"/>
      <c r="F90" s="354"/>
      <c r="G90" s="354"/>
      <c r="H90" s="354"/>
      <c r="I90" s="354"/>
      <c r="J90" s="354"/>
    </row>
    <row r="91" spans="1:10" ht="28.5" customHeight="1" x14ac:dyDescent="0.25">
      <c r="A91" s="317" t="s">
        <v>257</v>
      </c>
      <c r="B91" s="317"/>
      <c r="C91" s="101"/>
      <c r="D91" s="319" t="s">
        <v>253</v>
      </c>
      <c r="E91" s="319"/>
      <c r="F91" s="319"/>
      <c r="G91" s="319"/>
      <c r="H91" s="319"/>
      <c r="I91" s="319"/>
      <c r="J91" s="319"/>
    </row>
    <row r="92" spans="1:10" x14ac:dyDescent="0.25">
      <c r="A92" s="317"/>
      <c r="B92" s="317"/>
      <c r="C92" s="101"/>
      <c r="D92" s="319" t="s">
        <v>254</v>
      </c>
      <c r="E92" s="319"/>
      <c r="F92" s="319"/>
      <c r="G92" s="319"/>
      <c r="H92" s="319"/>
      <c r="I92" s="319"/>
      <c r="J92" s="319"/>
    </row>
    <row r="93" spans="1:10" ht="27.75" customHeight="1" x14ac:dyDescent="0.25">
      <c r="A93" s="317"/>
      <c r="B93" s="317"/>
      <c r="C93" s="101"/>
      <c r="D93" s="319" t="s">
        <v>255</v>
      </c>
      <c r="E93" s="319"/>
      <c r="F93" s="319"/>
      <c r="G93" s="319"/>
      <c r="H93" s="319"/>
      <c r="I93" s="319"/>
      <c r="J93" s="319"/>
    </row>
    <row r="94" spans="1:10" ht="28.5" customHeight="1" x14ac:dyDescent="0.25">
      <c r="A94" s="317"/>
      <c r="B94" s="317"/>
      <c r="C94" s="101"/>
      <c r="D94" s="319" t="s">
        <v>256</v>
      </c>
      <c r="E94" s="319"/>
      <c r="F94" s="319"/>
      <c r="G94" s="319"/>
      <c r="H94" s="319"/>
      <c r="I94" s="319"/>
      <c r="J94" s="319"/>
    </row>
    <row r="95" spans="1:10" x14ac:dyDescent="0.25">
      <c r="A95" s="317"/>
      <c r="B95" s="317"/>
      <c r="C95" s="312" t="s">
        <v>251</v>
      </c>
      <c r="D95" s="312"/>
      <c r="E95" s="354"/>
      <c r="F95" s="354"/>
      <c r="G95" s="354"/>
      <c r="H95" s="354"/>
      <c r="I95" s="354"/>
      <c r="J95" s="354"/>
    </row>
    <row r="96" spans="1:10" x14ac:dyDescent="0.25">
      <c r="A96" s="317" t="s">
        <v>258</v>
      </c>
      <c r="B96" s="317"/>
      <c r="C96" s="101"/>
      <c r="D96" s="318" t="s">
        <v>259</v>
      </c>
      <c r="E96" s="318"/>
      <c r="F96" s="318"/>
      <c r="G96" s="318"/>
      <c r="H96" s="318"/>
      <c r="I96" s="318"/>
      <c r="J96" s="318"/>
    </row>
    <row r="97" spans="1:10" ht="27.75" customHeight="1" x14ac:dyDescent="0.25">
      <c r="A97" s="317"/>
      <c r="B97" s="317"/>
      <c r="C97" s="101"/>
      <c r="D97" s="319" t="s">
        <v>260</v>
      </c>
      <c r="E97" s="319"/>
      <c r="F97" s="319"/>
      <c r="G97" s="319"/>
      <c r="H97" s="319"/>
      <c r="I97" s="319"/>
      <c r="J97" s="319"/>
    </row>
    <row r="98" spans="1:10" ht="15.75" customHeight="1" x14ac:dyDescent="0.25">
      <c r="A98" s="317"/>
      <c r="B98" s="317"/>
      <c r="C98" s="101"/>
      <c r="D98" s="319" t="s">
        <v>261</v>
      </c>
      <c r="E98" s="319"/>
      <c r="F98" s="319"/>
      <c r="G98" s="319"/>
      <c r="H98" s="319"/>
      <c r="I98" s="319"/>
      <c r="J98" s="319"/>
    </row>
    <row r="99" spans="1:10" ht="24" customHeight="1" x14ac:dyDescent="0.25">
      <c r="A99" s="317"/>
      <c r="B99" s="317"/>
      <c r="C99" s="101"/>
      <c r="D99" s="319" t="s">
        <v>262</v>
      </c>
      <c r="E99" s="319"/>
      <c r="F99" s="319"/>
      <c r="G99" s="319"/>
      <c r="H99" s="319"/>
      <c r="I99" s="319"/>
      <c r="J99" s="319"/>
    </row>
    <row r="100" spans="1:10" ht="35.25" customHeight="1" x14ac:dyDescent="0.25">
      <c r="A100" s="317"/>
      <c r="B100" s="317"/>
      <c r="C100" s="101"/>
      <c r="D100" s="319" t="s">
        <v>263</v>
      </c>
      <c r="E100" s="319"/>
      <c r="F100" s="319"/>
      <c r="G100" s="319"/>
      <c r="H100" s="319"/>
      <c r="I100" s="319"/>
      <c r="J100" s="319"/>
    </row>
    <row r="101" spans="1:10" x14ac:dyDescent="0.25">
      <c r="A101" s="317"/>
      <c r="B101" s="317"/>
      <c r="C101" s="312" t="s">
        <v>251</v>
      </c>
      <c r="D101" s="312"/>
      <c r="E101" s="354"/>
      <c r="F101" s="354"/>
      <c r="G101" s="354"/>
      <c r="H101" s="354"/>
      <c r="I101" s="354"/>
      <c r="J101" s="354"/>
    </row>
    <row r="104" spans="1:10" x14ac:dyDescent="0.25">
      <c r="A104" s="98"/>
      <c r="B104" s="310" t="s">
        <v>264</v>
      </c>
      <c r="C104" s="310"/>
      <c r="D104" s="310"/>
      <c r="E104" s="310"/>
      <c r="F104" s="310"/>
      <c r="G104" s="310"/>
      <c r="H104" s="310"/>
      <c r="I104" s="310"/>
      <c r="J104" s="310"/>
    </row>
    <row r="105" spans="1:10" x14ac:dyDescent="0.25">
      <c r="B105" s="97"/>
      <c r="C105" s="97"/>
      <c r="D105" s="97"/>
      <c r="E105" s="97"/>
      <c r="F105" s="97"/>
      <c r="G105" s="97"/>
      <c r="H105" s="97"/>
      <c r="I105" s="97"/>
      <c r="J105" s="97"/>
    </row>
    <row r="106" spans="1:10" x14ac:dyDescent="0.25">
      <c r="A106" s="98"/>
      <c r="B106" s="311" t="s">
        <v>265</v>
      </c>
      <c r="C106" s="310"/>
      <c r="D106" s="310"/>
      <c r="E106" s="310"/>
      <c r="F106" s="310"/>
      <c r="G106" s="310"/>
      <c r="H106" s="310"/>
      <c r="I106" s="310"/>
      <c r="J106" s="310"/>
    </row>
    <row r="108" spans="1:10" x14ac:dyDescent="0.25">
      <c r="A108" s="187" t="s">
        <v>266</v>
      </c>
      <c r="B108" s="187"/>
      <c r="C108" s="187"/>
      <c r="D108" s="268"/>
      <c r="E108" s="268"/>
      <c r="F108" s="268"/>
      <c r="H108" t="s">
        <v>267</v>
      </c>
      <c r="I108" s="269"/>
      <c r="J108" s="269"/>
    </row>
    <row r="110" spans="1:10" x14ac:dyDescent="0.25">
      <c r="A110" s="187" t="s">
        <v>268</v>
      </c>
      <c r="B110" s="187"/>
      <c r="C110" s="187"/>
      <c r="D110" s="268"/>
      <c r="E110" s="268"/>
      <c r="F110" s="268"/>
      <c r="H110" t="s">
        <v>267</v>
      </c>
      <c r="I110" s="269"/>
      <c r="J110" s="269"/>
    </row>
    <row r="115" spans="1:10" ht="40.5" customHeight="1" x14ac:dyDescent="0.25">
      <c r="A115" s="208" t="s">
        <v>293</v>
      </c>
      <c r="B115" s="209"/>
      <c r="C115" s="209"/>
      <c r="D115" s="209"/>
      <c r="E115" s="209"/>
      <c r="F115" s="209"/>
      <c r="G115" s="209"/>
      <c r="H115" s="209"/>
      <c r="I115" s="209"/>
      <c r="J115" s="209"/>
    </row>
    <row r="117" spans="1:10" x14ac:dyDescent="0.25">
      <c r="A117" s="293" t="s">
        <v>269</v>
      </c>
      <c r="B117" s="293"/>
      <c r="C117" s="293"/>
      <c r="D117" s="293"/>
      <c r="E117" s="81"/>
      <c r="F117" s="285">
        <f>C5</f>
        <v>0</v>
      </c>
      <c r="G117" s="285"/>
      <c r="H117" s="285"/>
      <c r="I117" s="285"/>
      <c r="J117" s="286"/>
    </row>
    <row r="118" spans="1:10" x14ac:dyDescent="0.25">
      <c r="A118" s="293" t="s">
        <v>270</v>
      </c>
      <c r="B118" s="293"/>
      <c r="C118" s="293"/>
      <c r="D118" s="293"/>
      <c r="E118" s="81"/>
      <c r="F118" s="285">
        <f>C3</f>
        <v>0</v>
      </c>
      <c r="G118" s="285"/>
      <c r="H118" s="285"/>
      <c r="I118" s="285"/>
      <c r="J118" s="286"/>
    </row>
    <row r="119" spans="1:10" x14ac:dyDescent="0.25">
      <c r="A119" s="293" t="s">
        <v>271</v>
      </c>
      <c r="B119" s="293"/>
      <c r="C119" s="293"/>
      <c r="D119" s="293"/>
      <c r="E119" s="81"/>
      <c r="F119" s="285">
        <f>F3</f>
        <v>0</v>
      </c>
      <c r="G119" s="285"/>
      <c r="H119" s="285"/>
      <c r="I119" s="285"/>
      <c r="J119" s="286"/>
    </row>
    <row r="120" spans="1:10" ht="48" customHeight="1" x14ac:dyDescent="0.25">
      <c r="A120" s="291" t="s">
        <v>272</v>
      </c>
      <c r="B120" s="291"/>
      <c r="C120" s="291"/>
      <c r="D120" s="291"/>
      <c r="E120" s="81"/>
      <c r="F120" s="352"/>
      <c r="G120" s="352"/>
      <c r="H120" s="82" t="s">
        <v>278</v>
      </c>
      <c r="I120" s="352"/>
      <c r="J120" s="353"/>
    </row>
    <row r="121" spans="1:10" ht="31.5" customHeight="1" x14ac:dyDescent="0.25">
      <c r="A121" s="291" t="s">
        <v>273</v>
      </c>
      <c r="B121" s="291"/>
      <c r="C121" s="291"/>
      <c r="D121" s="291"/>
      <c r="E121" s="89"/>
      <c r="F121" s="367"/>
      <c r="G121" s="287"/>
      <c r="H121" s="287"/>
      <c r="I121" s="287"/>
      <c r="J121" s="288"/>
    </row>
    <row r="122" spans="1:10" x14ac:dyDescent="0.25">
      <c r="A122" s="296" t="s">
        <v>274</v>
      </c>
      <c r="B122" s="297"/>
      <c r="C122" s="297"/>
      <c r="D122" s="298"/>
      <c r="E122" s="365" t="s">
        <v>279</v>
      </c>
      <c r="F122" s="365"/>
      <c r="G122" s="365"/>
      <c r="H122" s="365"/>
      <c r="I122" s="365"/>
      <c r="J122" s="365"/>
    </row>
    <row r="123" spans="1:10" x14ac:dyDescent="0.25">
      <c r="A123" s="299"/>
      <c r="B123" s="300"/>
      <c r="C123" s="300"/>
      <c r="D123" s="301"/>
      <c r="E123" s="101"/>
      <c r="F123" s="365" t="s">
        <v>280</v>
      </c>
      <c r="G123" s="365"/>
      <c r="H123" s="365"/>
      <c r="I123" s="365"/>
      <c r="J123" s="365"/>
    </row>
    <row r="124" spans="1:10" x14ac:dyDescent="0.25">
      <c r="A124" s="299"/>
      <c r="B124" s="300"/>
      <c r="C124" s="300"/>
      <c r="D124" s="301"/>
      <c r="E124" s="101"/>
      <c r="F124" s="365" t="s">
        <v>281</v>
      </c>
      <c r="G124" s="365"/>
      <c r="H124" s="365"/>
      <c r="I124" s="365"/>
      <c r="J124" s="365"/>
    </row>
    <row r="125" spans="1:10" x14ac:dyDescent="0.25">
      <c r="A125" s="299"/>
      <c r="B125" s="300"/>
      <c r="C125" s="300"/>
      <c r="D125" s="301"/>
      <c r="E125" s="101"/>
      <c r="F125" s="365" t="s">
        <v>282</v>
      </c>
      <c r="G125" s="365"/>
      <c r="H125" s="365"/>
      <c r="I125" s="365"/>
      <c r="J125" s="365"/>
    </row>
    <row r="126" spans="1:10" ht="45.75" customHeight="1" x14ac:dyDescent="0.25">
      <c r="A126" s="299"/>
      <c r="B126" s="300"/>
      <c r="C126" s="300"/>
      <c r="D126" s="301"/>
      <c r="E126" s="133" t="s">
        <v>283</v>
      </c>
      <c r="F126" s="347"/>
      <c r="G126" s="348"/>
      <c r="H126" s="348"/>
      <c r="I126" s="348"/>
      <c r="J126" s="349"/>
    </row>
    <row r="127" spans="1:10" x14ac:dyDescent="0.25">
      <c r="A127" s="296" t="s">
        <v>275</v>
      </c>
      <c r="B127" s="297"/>
      <c r="C127" s="297"/>
      <c r="D127" s="298"/>
      <c r="E127" s="101"/>
      <c r="F127" s="350" t="s">
        <v>285</v>
      </c>
      <c r="G127" s="350"/>
      <c r="H127" s="350"/>
      <c r="I127" s="350"/>
      <c r="J127" s="350"/>
    </row>
    <row r="128" spans="1:10" ht="48" customHeight="1" x14ac:dyDescent="0.25">
      <c r="A128" s="299"/>
      <c r="B128" s="300"/>
      <c r="C128" s="300"/>
      <c r="D128" s="301"/>
      <c r="E128" s="101"/>
      <c r="F128" s="351" t="s">
        <v>286</v>
      </c>
      <c r="G128" s="351"/>
      <c r="H128" s="351"/>
      <c r="I128" s="351"/>
      <c r="J128" s="351"/>
    </row>
    <row r="129" spans="1:10" ht="45.75" customHeight="1" x14ac:dyDescent="0.25">
      <c r="A129" s="305"/>
      <c r="B129" s="306"/>
      <c r="C129" s="306"/>
      <c r="D129" s="307"/>
      <c r="E129" s="133" t="s">
        <v>283</v>
      </c>
      <c r="F129" s="274"/>
      <c r="G129" s="274"/>
      <c r="H129" s="274"/>
      <c r="I129" s="274"/>
      <c r="J129" s="274"/>
    </row>
    <row r="130" spans="1:10" ht="47.25" customHeight="1" x14ac:dyDescent="0.25">
      <c r="A130" s="275" t="s">
        <v>276</v>
      </c>
      <c r="B130" s="276"/>
      <c r="C130" s="276"/>
      <c r="D130" s="277"/>
      <c r="E130" s="89"/>
      <c r="F130" s="274"/>
      <c r="G130" s="274"/>
      <c r="H130" s="274"/>
      <c r="I130" s="274"/>
      <c r="J130" s="274"/>
    </row>
    <row r="131" spans="1:10" ht="25.5" customHeight="1" x14ac:dyDescent="0.25">
      <c r="A131" s="296" t="s">
        <v>284</v>
      </c>
      <c r="B131" s="297"/>
      <c r="C131" s="297"/>
      <c r="D131" s="298"/>
      <c r="E131" s="344" t="s">
        <v>287</v>
      </c>
      <c r="F131" s="344"/>
      <c r="G131" s="344"/>
      <c r="H131" s="344"/>
      <c r="I131" s="344"/>
      <c r="J131" s="344"/>
    </row>
    <row r="132" spans="1:10" x14ac:dyDescent="0.25">
      <c r="A132" s="299"/>
      <c r="B132" s="300"/>
      <c r="C132" s="300"/>
      <c r="D132" s="301"/>
      <c r="E132" s="101"/>
      <c r="F132" s="366" t="s">
        <v>288</v>
      </c>
      <c r="G132" s="366"/>
      <c r="H132" s="366"/>
      <c r="I132" s="366"/>
      <c r="J132" s="366"/>
    </row>
    <row r="133" spans="1:10" x14ac:dyDescent="0.25">
      <c r="A133" s="299"/>
      <c r="B133" s="300"/>
      <c r="C133" s="300"/>
      <c r="D133" s="301"/>
      <c r="E133" s="101"/>
      <c r="F133" s="366" t="s">
        <v>289</v>
      </c>
      <c r="G133" s="366"/>
      <c r="H133" s="366"/>
      <c r="I133" s="366"/>
      <c r="J133" s="366"/>
    </row>
    <row r="134" spans="1:10" x14ac:dyDescent="0.25">
      <c r="A134" s="299"/>
      <c r="B134" s="300"/>
      <c r="C134" s="300"/>
      <c r="D134" s="301"/>
      <c r="E134" s="101"/>
      <c r="F134" s="366" t="s">
        <v>290</v>
      </c>
      <c r="G134" s="366"/>
      <c r="H134" s="366"/>
      <c r="I134" s="366"/>
      <c r="J134" s="366"/>
    </row>
    <row r="135" spans="1:10" x14ac:dyDescent="0.25">
      <c r="A135" s="299"/>
      <c r="B135" s="300"/>
      <c r="C135" s="300"/>
      <c r="D135" s="301"/>
      <c r="E135" s="101"/>
      <c r="F135" s="366" t="s">
        <v>291</v>
      </c>
      <c r="G135" s="366"/>
      <c r="H135" s="366"/>
      <c r="I135" s="366"/>
      <c r="J135" s="366"/>
    </row>
    <row r="136" spans="1:10" ht="45.75" customHeight="1" x14ac:dyDescent="0.25">
      <c r="A136" s="305"/>
      <c r="B136" s="306"/>
      <c r="C136" s="306"/>
      <c r="D136" s="307"/>
      <c r="E136" s="133" t="s">
        <v>283</v>
      </c>
      <c r="F136" s="274"/>
      <c r="G136" s="274"/>
      <c r="H136" s="274"/>
      <c r="I136" s="274"/>
      <c r="J136" s="274"/>
    </row>
    <row r="137" spans="1:10" ht="45.75" customHeight="1" x14ac:dyDescent="0.25">
      <c r="A137" s="291" t="s">
        <v>277</v>
      </c>
      <c r="B137" s="291"/>
      <c r="C137" s="291"/>
      <c r="D137" s="291"/>
      <c r="E137" s="89"/>
      <c r="F137" s="364" t="s">
        <v>292</v>
      </c>
      <c r="G137" s="364"/>
      <c r="H137" s="364"/>
      <c r="I137" s="364"/>
      <c r="J137" s="364"/>
    </row>
    <row r="143" spans="1:10" ht="42" customHeight="1" x14ac:dyDescent="0.25">
      <c r="A143" s="208" t="s">
        <v>294</v>
      </c>
      <c r="B143" s="209"/>
      <c r="C143" s="209"/>
      <c r="D143" s="209"/>
      <c r="E143" s="209"/>
      <c r="F143" s="209"/>
      <c r="G143" s="209"/>
      <c r="H143" s="209"/>
      <c r="I143" s="209"/>
      <c r="J143" s="209"/>
    </row>
    <row r="145" spans="1:10" x14ac:dyDescent="0.25">
      <c r="A145" s="210" t="s">
        <v>203</v>
      </c>
      <c r="B145" s="210"/>
      <c r="C145" s="321" t="str">
        <f>C3&amp;"/"&amp;F3</f>
        <v>/</v>
      </c>
      <c r="D145" s="321"/>
      <c r="E145" s="321"/>
      <c r="F145" s="321"/>
      <c r="G145" s="212" t="s">
        <v>295</v>
      </c>
      <c r="H145" s="212"/>
      <c r="I145" s="212"/>
      <c r="J145" s="102">
        <f>'SGO #1(Tiered or Simple)'!D20</f>
        <v>0</v>
      </c>
    </row>
    <row r="146" spans="1:10" x14ac:dyDescent="0.25">
      <c r="A146" s="210" t="s">
        <v>204</v>
      </c>
      <c r="B146" s="210"/>
      <c r="C146" s="284">
        <f>C5</f>
        <v>0</v>
      </c>
      <c r="D146" s="284"/>
      <c r="E146" s="284"/>
      <c r="F146" s="284"/>
      <c r="G146" s="84"/>
      <c r="H146" s="77"/>
      <c r="I146" s="77"/>
    </row>
    <row r="147" spans="1:10" x14ac:dyDescent="0.25">
      <c r="A147" s="210" t="s">
        <v>205</v>
      </c>
      <c r="B147" s="210"/>
      <c r="C147" s="284">
        <f>C7</f>
        <v>0</v>
      </c>
      <c r="D147" s="284"/>
      <c r="E147" s="284"/>
      <c r="F147" s="284"/>
      <c r="G147" s="84"/>
      <c r="H147" s="77"/>
      <c r="I147" s="77"/>
    </row>
    <row r="148" spans="1:10" x14ac:dyDescent="0.25">
      <c r="G148" s="77"/>
      <c r="H148" s="77"/>
      <c r="I148" s="77"/>
    </row>
    <row r="149" spans="1:10" ht="27.75" customHeight="1" x14ac:dyDescent="0.25">
      <c r="A149" s="283" t="s">
        <v>296</v>
      </c>
      <c r="B149" s="283"/>
      <c r="C149" s="283"/>
      <c r="D149" s="283" t="s">
        <v>297</v>
      </c>
      <c r="E149" s="283"/>
      <c r="F149" s="283"/>
      <c r="G149" s="283" t="s">
        <v>298</v>
      </c>
      <c r="H149" s="283"/>
      <c r="I149" s="283"/>
      <c r="J149" s="283"/>
    </row>
    <row r="150" spans="1:10" ht="80.25" customHeight="1" x14ac:dyDescent="0.25">
      <c r="A150" s="270" t="s">
        <v>299</v>
      </c>
      <c r="B150" s="271"/>
      <c r="C150" s="271"/>
      <c r="D150" s="272" t="str">
        <f>IF('SGO #2(Tiered or Simple)'!D17=0,"",'SGO #2(Tiered or Simple)'!E17)</f>
        <v/>
      </c>
      <c r="E150" s="273"/>
      <c r="F150" s="273"/>
      <c r="G150" s="274"/>
      <c r="H150" s="274"/>
      <c r="I150" s="274"/>
      <c r="J150" s="274"/>
    </row>
    <row r="151" spans="1:10" ht="80.25" customHeight="1" x14ac:dyDescent="0.25">
      <c r="A151" s="270" t="s">
        <v>300</v>
      </c>
      <c r="B151" s="271"/>
      <c r="C151" s="271"/>
      <c r="D151" s="272" t="str">
        <f>IF('SGO #2(Tiered or Simple)'!D14=0,"",'SGO #2(Tiered or Simple)'!E14)</f>
        <v/>
      </c>
      <c r="E151" s="273"/>
      <c r="F151" s="273"/>
      <c r="G151" s="274"/>
      <c r="H151" s="274"/>
      <c r="I151" s="274"/>
      <c r="J151" s="274"/>
    </row>
    <row r="152" spans="1:10" ht="80.25" customHeight="1" x14ac:dyDescent="0.25">
      <c r="A152" s="270" t="s">
        <v>343</v>
      </c>
      <c r="B152" s="271"/>
      <c r="C152" s="271"/>
      <c r="D152" s="272" t="str">
        <f>IF('SGO #1(Tiered or Simple)'!D11=0,"",'SGO #2(Tiered or Simple)'!E11)</f>
        <v/>
      </c>
      <c r="E152" s="273"/>
      <c r="F152" s="273"/>
      <c r="G152" s="274"/>
      <c r="H152" s="274"/>
      <c r="I152" s="274"/>
      <c r="J152" s="274"/>
    </row>
    <row r="154" spans="1:10" x14ac:dyDescent="0.25">
      <c r="A154" s="210" t="s">
        <v>301</v>
      </c>
      <c r="B154" s="210"/>
      <c r="C154" s="210"/>
      <c r="D154" s="210"/>
      <c r="E154" s="210"/>
      <c r="F154" s="210"/>
      <c r="G154" s="210"/>
      <c r="H154" s="210"/>
      <c r="I154" s="210"/>
      <c r="J154" s="210"/>
    </row>
    <row r="155" spans="1:10" x14ac:dyDescent="0.25">
      <c r="A155" s="210" t="s">
        <v>302</v>
      </c>
      <c r="B155" s="210"/>
      <c r="C155" s="210"/>
      <c r="D155" s="210"/>
      <c r="E155" s="210"/>
      <c r="F155" s="210"/>
      <c r="G155" s="210"/>
      <c r="H155" s="210"/>
      <c r="I155" s="210"/>
      <c r="J155" s="210"/>
    </row>
    <row r="156" spans="1:10" ht="48.75" customHeight="1" x14ac:dyDescent="0.25">
      <c r="A156" s="265" t="s">
        <v>303</v>
      </c>
      <c r="B156" s="266"/>
      <c r="C156" s="266"/>
      <c r="D156" s="266"/>
      <c r="E156" s="266"/>
      <c r="F156" s="266"/>
      <c r="G156" s="266"/>
      <c r="H156" s="266"/>
      <c r="I156" s="266"/>
      <c r="J156" s="266"/>
    </row>
    <row r="158" spans="1:10" x14ac:dyDescent="0.25">
      <c r="A158" s="264" t="s">
        <v>304</v>
      </c>
      <c r="B158" s="264"/>
      <c r="C158" s="264"/>
      <c r="D158" s="264"/>
      <c r="E158" s="264"/>
      <c r="F158" s="264"/>
      <c r="G158" s="264"/>
      <c r="H158" s="264"/>
      <c r="I158" s="264"/>
      <c r="J158" s="264"/>
    </row>
    <row r="159" spans="1:10" ht="53.25" customHeight="1" x14ac:dyDescent="0.25">
      <c r="A159" s="265" t="s">
        <v>305</v>
      </c>
      <c r="B159" s="266"/>
      <c r="C159" s="266"/>
      <c r="D159" s="266"/>
      <c r="E159" s="266"/>
      <c r="F159" s="266"/>
      <c r="G159" s="266"/>
      <c r="H159" s="266"/>
      <c r="I159" s="266"/>
      <c r="J159" s="266"/>
    </row>
    <row r="161" spans="1:10" x14ac:dyDescent="0.25">
      <c r="A161" s="101"/>
      <c r="B161" s="267" t="s">
        <v>306</v>
      </c>
      <c r="C161" s="266"/>
      <c r="D161" s="266"/>
      <c r="E161" s="266"/>
      <c r="F161" s="266"/>
      <c r="G161" s="266"/>
      <c r="H161" s="266"/>
      <c r="I161" s="266"/>
      <c r="J161" s="266"/>
    </row>
    <row r="163" spans="1:10" x14ac:dyDescent="0.25">
      <c r="A163" s="187" t="s">
        <v>266</v>
      </c>
      <c r="B163" s="187"/>
      <c r="C163" s="187"/>
      <c r="D163" s="268"/>
      <c r="E163" s="268"/>
      <c r="F163" s="268"/>
      <c r="H163" t="s">
        <v>267</v>
      </c>
      <c r="I163" s="269"/>
      <c r="J163" s="269"/>
    </row>
    <row r="165" spans="1:10" x14ac:dyDescent="0.25">
      <c r="A165" s="187" t="s">
        <v>268</v>
      </c>
      <c r="B165" s="187"/>
      <c r="C165" s="187"/>
      <c r="D165" s="268"/>
      <c r="E165" s="268"/>
      <c r="F165" s="268"/>
      <c r="H165" t="s">
        <v>267</v>
      </c>
      <c r="I165" s="269"/>
      <c r="J165" s="269"/>
    </row>
    <row r="169" spans="1:10" ht="42" customHeight="1" x14ac:dyDescent="0.25">
      <c r="A169" s="208" t="s">
        <v>358</v>
      </c>
      <c r="B169" s="209"/>
      <c r="C169" s="209"/>
      <c r="D169" s="209"/>
      <c r="E169" s="209"/>
      <c r="F169" s="209"/>
      <c r="G169" s="209"/>
      <c r="H169" s="209"/>
      <c r="I169" s="209"/>
      <c r="J169" s="209"/>
    </row>
    <row r="170" spans="1:10" ht="8.25" customHeight="1" x14ac:dyDescent="0.25"/>
    <row r="171" spans="1:10" x14ac:dyDescent="0.25">
      <c r="A171" s="233" t="s">
        <v>308</v>
      </c>
      <c r="B171" s="233"/>
      <c r="C171" s="233" t="s">
        <v>270</v>
      </c>
      <c r="D171" s="233"/>
      <c r="E171" s="233" t="s">
        <v>309</v>
      </c>
      <c r="F171" s="233"/>
      <c r="G171" s="233"/>
      <c r="H171" s="233" t="s">
        <v>310</v>
      </c>
      <c r="I171" s="233"/>
      <c r="J171" s="233"/>
    </row>
    <row r="172" spans="1:10" x14ac:dyDescent="0.25">
      <c r="A172" s="344">
        <f>C3</f>
        <v>0</v>
      </c>
      <c r="B172" s="344"/>
      <c r="C172" s="344">
        <f>F3</f>
        <v>0</v>
      </c>
      <c r="D172" s="344"/>
      <c r="E172" s="220">
        <f>J145</f>
        <v>0</v>
      </c>
      <c r="F172" s="220"/>
      <c r="G172" s="220"/>
      <c r="H172" s="88" t="s">
        <v>311</v>
      </c>
      <c r="I172" s="101"/>
      <c r="J172" s="88"/>
    </row>
    <row r="173" spans="1:10" x14ac:dyDescent="0.25">
      <c r="A173" s="344"/>
      <c r="B173" s="344"/>
      <c r="C173" s="344"/>
      <c r="D173" s="344"/>
      <c r="E173" s="220"/>
      <c r="F173" s="220"/>
      <c r="G173" s="220"/>
      <c r="H173" s="88" t="s">
        <v>312</v>
      </c>
      <c r="I173" s="101"/>
      <c r="J173" s="88"/>
    </row>
    <row r="174" spans="1:10" x14ac:dyDescent="0.25">
      <c r="A174" s="344"/>
      <c r="B174" s="344"/>
      <c r="C174" s="344"/>
      <c r="D174" s="344"/>
      <c r="E174" s="220"/>
      <c r="F174" s="220"/>
      <c r="G174" s="220"/>
      <c r="H174" s="88" t="s">
        <v>283</v>
      </c>
      <c r="I174" s="330"/>
      <c r="J174" s="330"/>
    </row>
    <row r="175" spans="1:10" x14ac:dyDescent="0.25">
      <c r="A175" s="234" t="s">
        <v>313</v>
      </c>
      <c r="B175" s="234"/>
      <c r="C175" s="217"/>
      <c r="D175" s="217"/>
      <c r="E175" s="217"/>
      <c r="F175" s="217"/>
      <c r="G175" s="217"/>
      <c r="H175" s="234" t="s">
        <v>315</v>
      </c>
      <c r="I175" s="79" t="s">
        <v>316</v>
      </c>
      <c r="J175" s="101"/>
    </row>
    <row r="176" spans="1:10" x14ac:dyDescent="0.25">
      <c r="A176" s="234"/>
      <c r="B176" s="234"/>
      <c r="C176" s="217"/>
      <c r="D176" s="217"/>
      <c r="E176" s="217"/>
      <c r="F176" s="217"/>
      <c r="G176" s="217"/>
      <c r="H176" s="234"/>
      <c r="I176" s="79" t="s">
        <v>317</v>
      </c>
      <c r="J176" s="101"/>
    </row>
    <row r="177" spans="1:10" ht="24" customHeight="1" x14ac:dyDescent="0.25">
      <c r="A177" s="355" t="s">
        <v>314</v>
      </c>
      <c r="B177" s="356"/>
      <c r="C177" s="356"/>
      <c r="D177" s="356"/>
      <c r="E177" s="356"/>
      <c r="F177" s="356"/>
      <c r="G177" s="356"/>
      <c r="H177" s="356"/>
      <c r="I177" s="356"/>
      <c r="J177" s="356"/>
    </row>
    <row r="178" spans="1:10" ht="57" customHeight="1" x14ac:dyDescent="0.25">
      <c r="A178" s="246"/>
      <c r="B178" s="246"/>
      <c r="C178" s="246"/>
      <c r="D178" s="246"/>
      <c r="E178" s="246"/>
      <c r="F178" s="246"/>
      <c r="G178" s="246"/>
      <c r="H178" s="246"/>
      <c r="I178" s="246"/>
      <c r="J178" s="246"/>
    </row>
    <row r="179" spans="1:10" x14ac:dyDescent="0.25">
      <c r="A179" s="335" t="s">
        <v>200</v>
      </c>
      <c r="B179" s="336"/>
      <c r="C179" s="336"/>
      <c r="D179" s="336"/>
      <c r="E179" s="336"/>
      <c r="F179" s="336"/>
      <c r="G179" s="336"/>
      <c r="H179" s="336"/>
      <c r="I179" s="336"/>
      <c r="J179" s="336"/>
    </row>
    <row r="180" spans="1:10" ht="39" customHeight="1" x14ac:dyDescent="0.25">
      <c r="A180" s="339" t="s">
        <v>347</v>
      </c>
      <c r="B180" s="340"/>
      <c r="C180" s="339" t="s">
        <v>348</v>
      </c>
      <c r="D180" s="339"/>
      <c r="E180" s="339" t="s">
        <v>350</v>
      </c>
      <c r="F180" s="339"/>
      <c r="G180" s="339"/>
      <c r="H180" s="339" t="s">
        <v>349</v>
      </c>
      <c r="I180" s="339"/>
      <c r="J180" s="339"/>
    </row>
    <row r="181" spans="1:10" x14ac:dyDescent="0.25">
      <c r="A181" s="341" t="s">
        <v>30</v>
      </c>
      <c r="B181" s="342"/>
      <c r="C181" s="341">
        <f>'SGO #2(Tiered or Simple)'!D11</f>
        <v>0</v>
      </c>
      <c r="D181" s="341"/>
      <c r="E181" s="341" t="str">
        <f>IF('SGO #2(Tiered or Simple)'!D11=0,"",IF('SGO #2(Tiered or Simple)'!T37=0,'SGO #2(Tiered or Simple)'!S37,'SGO #2(Tiered or Simple)'!U37))</f>
        <v/>
      </c>
      <c r="F181" s="341"/>
      <c r="G181" s="341"/>
      <c r="H181" s="342" t="str">
        <f>IF('SGO #2(Tiered or Simple)'!D11=0,"",'SGO #2(Tiered or Simple)'!I12)</f>
        <v/>
      </c>
      <c r="I181" s="342"/>
      <c r="J181" s="342"/>
    </row>
    <row r="182" spans="1:10" x14ac:dyDescent="0.25">
      <c r="A182" s="341" t="s">
        <v>192</v>
      </c>
      <c r="B182" s="342"/>
      <c r="C182" s="341">
        <f>'SGO #2(Tiered or Simple)'!D14</f>
        <v>0</v>
      </c>
      <c r="D182" s="341"/>
      <c r="E182" s="341" t="str">
        <f>IF('SGO #2(Tiered or Simple)'!D14=0,"",IF('SGO #2(Tiered or Simple)'!T38=0,'SGO #2(Tiered or Simple)'!S38,'SGO #2(Tiered or Simple)'!U38))</f>
        <v/>
      </c>
      <c r="F182" s="341"/>
      <c r="G182" s="341"/>
      <c r="H182" s="342" t="str">
        <f>IF('SGO #2(Tiered or Simple)'!D14=0,"",'SGO #2(Tiered or Simple)'!I15)</f>
        <v/>
      </c>
      <c r="I182" s="342"/>
      <c r="J182" s="342"/>
    </row>
    <row r="183" spans="1:10" x14ac:dyDescent="0.25">
      <c r="A183" s="341" t="s">
        <v>28</v>
      </c>
      <c r="B183" s="342"/>
      <c r="C183" s="341">
        <f>'SGO #2(Tiered or Simple)'!D17</f>
        <v>0</v>
      </c>
      <c r="D183" s="341"/>
      <c r="E183" s="341" t="str">
        <f>IF('SGO #2(Tiered or Simple)'!D17=0,"",IF('SGO #2(Tiered or Simple)'!T39=0,'SGO #2(Tiered or Simple)'!S39,'SGO #2(Tiered or Simple)'!U39))</f>
        <v/>
      </c>
      <c r="F183" s="341"/>
      <c r="G183" s="341"/>
      <c r="H183" s="342" t="str">
        <f>IF('SGO #2(Tiered or Simple)'!D17=0,"",'SGO #2(Tiered or Simple)'!I18)</f>
        <v/>
      </c>
      <c r="I183" s="342"/>
      <c r="J183" s="342"/>
    </row>
    <row r="184" spans="1:10" ht="35.25" customHeight="1" x14ac:dyDescent="0.25">
      <c r="A184" s="343" t="s">
        <v>354</v>
      </c>
      <c r="B184" s="343"/>
      <c r="C184" s="343"/>
      <c r="D184" s="343"/>
      <c r="E184" s="343"/>
      <c r="F184" s="343"/>
      <c r="G184" s="343"/>
      <c r="H184" s="343"/>
      <c r="I184" s="343"/>
      <c r="J184" s="343"/>
    </row>
    <row r="185" spans="1:10" ht="69" customHeight="1" x14ac:dyDescent="0.25">
      <c r="A185" s="323"/>
      <c r="B185" s="323"/>
      <c r="C185" s="323"/>
      <c r="D185" s="323"/>
      <c r="E185" s="323"/>
      <c r="F185" s="323"/>
      <c r="G185" s="323"/>
      <c r="H185" s="323"/>
      <c r="I185" s="323"/>
      <c r="J185" s="323"/>
    </row>
    <row r="186" spans="1:10" x14ac:dyDescent="0.25">
      <c r="A186" s="228" t="s">
        <v>198</v>
      </c>
      <c r="B186" s="229"/>
      <c r="C186" s="229"/>
      <c r="D186" s="229"/>
      <c r="E186" s="229"/>
      <c r="F186" s="229"/>
      <c r="G186" s="229"/>
      <c r="H186" s="229"/>
      <c r="I186" s="229"/>
      <c r="J186" s="229"/>
    </row>
    <row r="187" spans="1:10" ht="29.25" customHeight="1" x14ac:dyDescent="0.25">
      <c r="A187" s="225" t="s">
        <v>318</v>
      </c>
      <c r="B187" s="226"/>
      <c r="C187" s="226"/>
      <c r="D187" s="226"/>
      <c r="E187" s="226"/>
      <c r="F187" s="226"/>
      <c r="G187" s="226"/>
      <c r="H187" s="226"/>
      <c r="I187" s="226"/>
      <c r="J187" s="226"/>
    </row>
    <row r="188" spans="1:10" x14ac:dyDescent="0.25">
      <c r="A188" s="361" t="s">
        <v>342</v>
      </c>
      <c r="B188" s="361"/>
      <c r="C188" s="361" t="s">
        <v>319</v>
      </c>
      <c r="D188" s="361"/>
      <c r="E188" s="361" t="s">
        <v>320</v>
      </c>
      <c r="F188" s="361"/>
      <c r="G188" s="361" t="s">
        <v>321</v>
      </c>
      <c r="H188" s="361"/>
      <c r="I188" s="361" t="s">
        <v>199</v>
      </c>
      <c r="J188" s="361"/>
    </row>
    <row r="189" spans="1:10" x14ac:dyDescent="0.25">
      <c r="A189" s="271" t="s">
        <v>30</v>
      </c>
      <c r="B189" s="220" t="str">
        <f>IF('SGO #2(Tiered or Simple)'!D11=0,"",IF('SGO #2(Tiered or Simple)'!T37=0,'SGO #2(Tiered or Simple)'!S37,'SGO #2(Tiered or Simple)'!U37))</f>
        <v/>
      </c>
      <c r="C189" s="214" t="str">
        <f>IF('SGO #2(Tiered or Simple)'!D11=0,"",'SGO #2(Tiered or Simple)'!H11)</f>
        <v/>
      </c>
      <c r="D189" s="214"/>
      <c r="E189" s="227" t="str">
        <f>IF('SGO #2(Tiered or Simple)'!D11=0,"",'SGO #2(Tiered or Simple)'!I11)</f>
        <v/>
      </c>
      <c r="F189" s="214"/>
      <c r="G189" s="214" t="str">
        <f>IF('SGO #2(Tiered or Simple)'!D11=0,"",'SGO #2(Tiered or Simple)'!J11)</f>
        <v/>
      </c>
      <c r="H189" s="214"/>
      <c r="I189" s="214" t="str">
        <f>IF('SGO #2(Tiered or Simple)'!D11=0,"",'SGO #2(Tiered or Simple)'!K11)</f>
        <v/>
      </c>
      <c r="J189" s="214"/>
    </row>
    <row r="190" spans="1:10" x14ac:dyDescent="0.25">
      <c r="A190" s="271"/>
      <c r="B190" s="220"/>
      <c r="C190" s="214" t="str">
        <f>IF('SGO #2(Tiered or Simple)'!D11=0,"",'SGO #2(Tiered or Simple)'!H12)</f>
        <v/>
      </c>
      <c r="D190" s="214"/>
      <c r="E190" s="214" t="str">
        <f>IF('SGO #2(Tiered or Simple)'!D11=0,"",'SGO #2(Tiered or Simple)'!I12)</f>
        <v/>
      </c>
      <c r="F190" s="214"/>
      <c r="G190" s="214" t="str">
        <f>IF('SGO #2(Tiered or Simple)'!D11=0,"",'SGO #2(Tiered or Simple)'!J12)</f>
        <v/>
      </c>
      <c r="H190" s="214"/>
      <c r="I190" s="214" t="str">
        <f>IF('SGO #2(Tiered or Simple)'!D11=0,"",'SGO #2(Tiered or Simple)'!K12)</f>
        <v/>
      </c>
      <c r="J190" s="214"/>
    </row>
    <row r="191" spans="1:10" x14ac:dyDescent="0.25">
      <c r="A191" s="271" t="s">
        <v>192</v>
      </c>
      <c r="B191" s="220" t="str">
        <f>IF('SGO #2(Tiered or Simple)'!D14=0,"",IF('SGO #2(Tiered or Simple)'!T38=0,'SGO #2(Tiered or Simple)'!S38,'SGO #2(Tiered or Simple)'!U38))</f>
        <v/>
      </c>
      <c r="C191" s="214" t="str">
        <f>IF('SGO #2(Tiered or Simple)'!D14=0,"",'SGO #2(Tiered or Simple)'!H14)</f>
        <v/>
      </c>
      <c r="D191" s="214"/>
      <c r="E191" s="227" t="str">
        <f>IF('SGO #2(Tiered or Simple)'!D14=0,"",'SGO #2(Tiered or Simple)'!I14)</f>
        <v/>
      </c>
      <c r="F191" s="214"/>
      <c r="G191" s="214" t="str">
        <f>IF('SGO #2(Tiered or Simple)'!D14=0,"",'SGO #2(Tiered or Simple)'!J14)</f>
        <v/>
      </c>
      <c r="H191" s="214"/>
      <c r="I191" s="214" t="str">
        <f>IF('SGO #2(Tiered or Simple)'!D14=0,"",'SGO #2(Tiered or Simple)'!K14)</f>
        <v/>
      </c>
      <c r="J191" s="214"/>
    </row>
    <row r="192" spans="1:10" x14ac:dyDescent="0.25">
      <c r="A192" s="271"/>
      <c r="B192" s="220"/>
      <c r="C192" s="214" t="str">
        <f>IF('SGO #2(Tiered or Simple)'!D14=0,"",'SGO #2(Tiered or Simple)'!H15)</f>
        <v/>
      </c>
      <c r="D192" s="214"/>
      <c r="E192" s="214" t="str">
        <f>IF('SGO #2(Tiered or Simple)'!D14=0,"",'SGO #2(Tiered or Simple)'!I15)</f>
        <v/>
      </c>
      <c r="F192" s="214"/>
      <c r="G192" s="214" t="str">
        <f>IF('SGO #2(Tiered or Simple)'!D14=0,"",'SGO #2(Tiered or Simple)'!J15)</f>
        <v/>
      </c>
      <c r="H192" s="214"/>
      <c r="I192" s="214" t="str">
        <f>IF('SGO #2(Tiered or Simple)'!D14=0,"",'SGO #2(Tiered or Simple)'!K15)</f>
        <v/>
      </c>
      <c r="J192" s="214"/>
    </row>
    <row r="193" spans="1:10" x14ac:dyDescent="0.25">
      <c r="A193" s="271" t="s">
        <v>28</v>
      </c>
      <c r="B193" s="220" t="str">
        <f>IF('SGO #2(Tiered or Simple)'!D17=0,"",IF('SGO #2(Tiered or Simple)'!T39=0,'SGO #2(Tiered or Simple)'!S39,'SGO #2(Tiered or Simple)'!U39))</f>
        <v/>
      </c>
      <c r="C193" s="214" t="str">
        <f>IF('SGO #2(Tiered or Simple)'!D17=0,"",'SGO #2(Tiered or Simple)'!H17)</f>
        <v/>
      </c>
      <c r="D193" s="214"/>
      <c r="E193" s="227" t="str">
        <f>IF('SGO #2(Tiered or Simple)'!D17=0,"",'SGO #2(Tiered or Simple)'!I17)</f>
        <v/>
      </c>
      <c r="F193" s="214"/>
      <c r="G193" s="214" t="str">
        <f>IF('SGO #2(Tiered or Simple)'!D17=0,"",'SGO #2(Tiered or Simple)'!J17)</f>
        <v/>
      </c>
      <c r="H193" s="214"/>
      <c r="I193" s="214" t="str">
        <f>IF('SGO #2(Tiered or Simple)'!D17=0,"",'SGO #2(Tiered or Simple)'!K17)</f>
        <v/>
      </c>
      <c r="J193" s="214"/>
    </row>
    <row r="194" spans="1:10" x14ac:dyDescent="0.25">
      <c r="A194" s="271"/>
      <c r="B194" s="220"/>
      <c r="C194" s="214" t="str">
        <f>IF('SGO #2(Tiered or Simple)'!D17=0,"",'SGO #2(Tiered or Simple)'!H18)</f>
        <v/>
      </c>
      <c r="D194" s="214"/>
      <c r="E194" s="214" t="str">
        <f>IF('SGO #2(Tiered or Simple)'!D17=0,"",'SGO #2(Tiered or Simple)'!I18)</f>
        <v/>
      </c>
      <c r="F194" s="214"/>
      <c r="G194" s="214" t="str">
        <f>IF('SGO #2(Tiered or Simple)'!D17=0,"",'SGO #2(Tiered or Simple)'!J18)</f>
        <v/>
      </c>
      <c r="H194" s="214"/>
      <c r="I194" s="214" t="str">
        <f>IF('SGO #2(Tiered or Simple)'!D17=0,"",'SGO #2(Tiered or Simple)'!K18)</f>
        <v/>
      </c>
      <c r="J194" s="214"/>
    </row>
    <row r="195" spans="1:10" ht="29.25" customHeight="1" x14ac:dyDescent="0.25">
      <c r="A195" s="225" t="s">
        <v>322</v>
      </c>
      <c r="B195" s="226"/>
      <c r="C195" s="226"/>
      <c r="D195" s="226"/>
      <c r="E195" s="226"/>
      <c r="F195" s="226"/>
      <c r="G195" s="226"/>
      <c r="H195" s="226"/>
      <c r="I195" s="226"/>
      <c r="J195" s="226"/>
    </row>
    <row r="196" spans="1:10" ht="21" customHeight="1" x14ac:dyDescent="0.25">
      <c r="A196" s="79" t="s">
        <v>323</v>
      </c>
      <c r="B196" s="214">
        <f>C146</f>
        <v>0</v>
      </c>
      <c r="C196" s="214"/>
      <c r="D196" s="79" t="s">
        <v>324</v>
      </c>
      <c r="E196" s="215"/>
      <c r="F196" s="215"/>
      <c r="G196" s="216" t="s">
        <v>325</v>
      </c>
      <c r="H196" s="216"/>
      <c r="I196" s="330"/>
      <c r="J196" s="330"/>
    </row>
    <row r="197" spans="1:10" ht="21" customHeight="1" x14ac:dyDescent="0.25">
      <c r="A197" s="79" t="s">
        <v>326</v>
      </c>
      <c r="B197" s="214">
        <f>C147</f>
        <v>0</v>
      </c>
      <c r="C197" s="214"/>
      <c r="D197" s="79" t="s">
        <v>324</v>
      </c>
      <c r="E197" s="215"/>
      <c r="F197" s="215"/>
      <c r="G197" s="216" t="s">
        <v>327</v>
      </c>
      <c r="H197" s="216"/>
      <c r="I197" s="330"/>
      <c r="J197" s="330"/>
    </row>
    <row r="198" spans="1:10" ht="29.25" customHeight="1" x14ac:dyDescent="0.25">
      <c r="A198" s="218" t="s">
        <v>328</v>
      </c>
      <c r="B198" s="219"/>
      <c r="C198" s="219"/>
      <c r="D198" s="219"/>
      <c r="E198" s="219"/>
      <c r="F198" s="219"/>
      <c r="G198" s="219"/>
      <c r="H198" s="219"/>
      <c r="I198" s="219"/>
      <c r="J198" s="219"/>
    </row>
    <row r="199" spans="1:10" ht="48.75" customHeight="1" x14ac:dyDescent="0.25">
      <c r="A199" s="103" t="s">
        <v>195</v>
      </c>
      <c r="B199" s="124" t="s">
        <v>351</v>
      </c>
      <c r="C199" s="104" t="s">
        <v>352</v>
      </c>
      <c r="D199" s="104" t="s">
        <v>355</v>
      </c>
      <c r="E199" s="104" t="s">
        <v>357</v>
      </c>
      <c r="F199" s="104" t="s">
        <v>356</v>
      </c>
      <c r="G199" s="89" t="s">
        <v>323</v>
      </c>
      <c r="H199" s="220">
        <f>C146</f>
        <v>0</v>
      </c>
      <c r="I199" s="220"/>
      <c r="J199" s="220"/>
    </row>
    <row r="200" spans="1:10" ht="24" customHeight="1" x14ac:dyDescent="0.25">
      <c r="A200" s="122" t="s">
        <v>30</v>
      </c>
      <c r="B200" s="132" t="str">
        <f>IF('SGO #2(Tiered or Simple)'!D11=0,"",'SGO #2(Tiered or Simple)'!L12)</f>
        <v/>
      </c>
      <c r="C200" s="132" t="str">
        <f>IF('SGO #2(Tiered or Simple)'!D11=0,"",'SGO #2(Tiered or Simple)'!N11)</f>
        <v/>
      </c>
      <c r="D200" s="127" t="str">
        <f>IF('SGO #2(Tiered or Simple)'!D11=0,"",'SGO #2(Tiered or Simple)'!E11)</f>
        <v/>
      </c>
      <c r="E200" s="134" t="str">
        <f>IF('SGO #2(Tiered or Simple)'!D11=0,"",C200*D200)</f>
        <v/>
      </c>
      <c r="F200" s="333" t="e">
        <f>'SGO #2(Tiered or Simple)'!N4</f>
        <v>#DIV/0!</v>
      </c>
      <c r="G200" s="89" t="s">
        <v>326</v>
      </c>
      <c r="H200" s="220">
        <f>C147</f>
        <v>0</v>
      </c>
      <c r="I200" s="220"/>
      <c r="J200" s="220"/>
    </row>
    <row r="201" spans="1:10" ht="24" customHeight="1" x14ac:dyDescent="0.25">
      <c r="A201" s="123" t="s">
        <v>192</v>
      </c>
      <c r="B201" s="131" t="str">
        <f>IF('SGO #2(Tiered or Simple)'!D14=0,"",'SGO #2(Tiered or Simple)'!L15)</f>
        <v/>
      </c>
      <c r="C201" s="131" t="str">
        <f>IF('SGO #2(Tiered or Simple)'!D14=0,"",'SGO #2(Tiered or Simple)'!N14)</f>
        <v/>
      </c>
      <c r="D201" s="129" t="str">
        <f>IF('SGO #2(Tiered or Simple)'!D14=0,"",'SGO #2(Tiered or Simple)'!E14)</f>
        <v/>
      </c>
      <c r="E201" s="134" t="str">
        <f>IF('SGO #2(Tiered or Simple)'!D14=0,"",C201*D201)</f>
        <v/>
      </c>
      <c r="F201" s="333"/>
      <c r="G201" s="89" t="s">
        <v>330</v>
      </c>
      <c r="H201" s="331"/>
      <c r="I201" s="331"/>
      <c r="J201" s="331"/>
    </row>
    <row r="202" spans="1:10" ht="24" customHeight="1" x14ac:dyDescent="0.25">
      <c r="A202" s="123" t="s">
        <v>28</v>
      </c>
      <c r="B202" s="131" t="str">
        <f>IF('SGO #2(Tiered or Simple)'!D17=0,"",'SGO #2(Tiered or Simple)'!L18)</f>
        <v/>
      </c>
      <c r="C202" s="131" t="str">
        <f>IF('SGO #2(Tiered or Simple)'!D17=0,"",'SGO #2(Tiered or Simple)'!N17)</f>
        <v/>
      </c>
      <c r="D202" s="129" t="str">
        <f>IF('SGO #2(Tiered or Simple)'!D17=0,"",'SGO #2(Tiered or Simple)'!E17)</f>
        <v/>
      </c>
      <c r="E202" s="134" t="str">
        <f>IF('SGO #2(Tiered or Simple)'!D17=0,"",C202*D202)</f>
        <v/>
      </c>
      <c r="F202" s="333"/>
      <c r="G202" s="89"/>
      <c r="H202" s="220"/>
      <c r="I202" s="220"/>
      <c r="J202" s="220"/>
    </row>
    <row r="204" spans="1:10" ht="42" customHeight="1" x14ac:dyDescent="0.25">
      <c r="A204" s="208" t="s">
        <v>331</v>
      </c>
      <c r="B204" s="209"/>
      <c r="C204" s="209"/>
      <c r="D204" s="209"/>
      <c r="E204" s="209"/>
      <c r="F204" s="209"/>
      <c r="G204" s="209"/>
      <c r="H204" s="209"/>
      <c r="I204" s="209"/>
      <c r="J204" s="209"/>
    </row>
    <row r="206" spans="1:10" ht="31.5" customHeight="1" x14ac:dyDescent="0.25">
      <c r="A206" s="210" t="s">
        <v>204</v>
      </c>
      <c r="B206" s="210"/>
      <c r="C206" s="222">
        <f>C146</f>
        <v>0</v>
      </c>
      <c r="D206" s="222"/>
      <c r="E206" s="222"/>
      <c r="F206" s="222"/>
      <c r="G206" s="212" t="s">
        <v>330</v>
      </c>
      <c r="H206" s="212"/>
      <c r="I206" s="223"/>
      <c r="J206" s="223"/>
    </row>
    <row r="207" spans="1:10" ht="31.5" customHeight="1" x14ac:dyDescent="0.25">
      <c r="A207" s="211" t="s">
        <v>332</v>
      </c>
      <c r="B207" s="211"/>
      <c r="C207" s="221" t="str">
        <f>C3&amp;"/"&amp;F3</f>
        <v>/</v>
      </c>
      <c r="D207" s="221"/>
      <c r="E207" s="221"/>
      <c r="F207" s="221"/>
      <c r="G207" s="84"/>
      <c r="H207" s="77"/>
      <c r="I207" s="77"/>
    </row>
    <row r="208" spans="1:10" ht="31.5" customHeight="1" x14ac:dyDescent="0.25">
      <c r="A208" s="210" t="s">
        <v>205</v>
      </c>
      <c r="B208" s="210"/>
      <c r="C208" s="221">
        <f>C147</f>
        <v>0</v>
      </c>
      <c r="D208" s="221"/>
      <c r="E208" s="221"/>
      <c r="F208" s="221"/>
      <c r="G208" s="84"/>
      <c r="H208" s="77"/>
      <c r="I208" s="77"/>
    </row>
    <row r="210" spans="1:10" ht="29.25" customHeight="1" x14ac:dyDescent="0.25">
      <c r="A210" s="213" t="s">
        <v>333</v>
      </c>
      <c r="B210" s="213"/>
      <c r="C210" s="213"/>
      <c r="D210" s="213"/>
      <c r="E210" s="213"/>
      <c r="F210" s="213"/>
      <c r="G210" s="213"/>
      <c r="H210" s="213"/>
      <c r="I210" s="213"/>
      <c r="J210" s="213"/>
    </row>
    <row r="212" spans="1:10" x14ac:dyDescent="0.25">
      <c r="A212" s="203" t="s">
        <v>334</v>
      </c>
      <c r="B212" s="203"/>
      <c r="C212" s="203"/>
      <c r="D212" s="203"/>
      <c r="E212" s="203"/>
      <c r="F212" s="203"/>
      <c r="G212" s="203"/>
      <c r="H212" s="203"/>
      <c r="I212" s="203"/>
      <c r="J212" s="203"/>
    </row>
    <row r="213" spans="1:10" ht="75" customHeight="1" x14ac:dyDescent="0.25">
      <c r="A213" s="204"/>
      <c r="B213" s="205"/>
      <c r="C213" s="205"/>
      <c r="D213" s="205"/>
      <c r="E213" s="205"/>
      <c r="F213" s="205"/>
      <c r="G213" s="205"/>
      <c r="H213" s="205"/>
      <c r="I213" s="205"/>
      <c r="J213" s="206"/>
    </row>
    <row r="214" spans="1:10" x14ac:dyDescent="0.25">
      <c r="A214" s="203" t="s">
        <v>335</v>
      </c>
      <c r="B214" s="203"/>
      <c r="C214" s="203"/>
      <c r="D214" s="203"/>
      <c r="E214" s="203"/>
      <c r="F214" s="203"/>
      <c r="G214" s="203"/>
      <c r="H214" s="203"/>
      <c r="I214" s="203"/>
      <c r="J214" s="203"/>
    </row>
    <row r="215" spans="1:10" ht="75" customHeight="1" x14ac:dyDescent="0.25">
      <c r="A215" s="204"/>
      <c r="B215" s="205"/>
      <c r="C215" s="205"/>
      <c r="D215" s="205"/>
      <c r="E215" s="205"/>
      <c r="F215" s="205"/>
      <c r="G215" s="205"/>
      <c r="H215" s="205"/>
      <c r="I215" s="205"/>
      <c r="J215" s="206"/>
    </row>
    <row r="216" spans="1:10" x14ac:dyDescent="0.25">
      <c r="A216" s="203" t="s">
        <v>336</v>
      </c>
      <c r="B216" s="203"/>
      <c r="C216" s="203"/>
      <c r="D216" s="203"/>
      <c r="E216" s="203"/>
      <c r="F216" s="203"/>
      <c r="G216" s="203"/>
      <c r="H216" s="203"/>
      <c r="I216" s="203"/>
      <c r="J216" s="203"/>
    </row>
    <row r="217" spans="1:10" ht="75" customHeight="1" x14ac:dyDescent="0.25">
      <c r="A217" s="204"/>
      <c r="B217" s="205"/>
      <c r="C217" s="205"/>
      <c r="D217" s="205"/>
      <c r="E217" s="205"/>
      <c r="F217" s="205"/>
      <c r="G217" s="205"/>
      <c r="H217" s="205"/>
      <c r="I217" s="205"/>
      <c r="J217" s="206"/>
    </row>
    <row r="218" spans="1:10" x14ac:dyDescent="0.25">
      <c r="A218" s="203" t="s">
        <v>337</v>
      </c>
      <c r="B218" s="203"/>
      <c r="C218" s="203"/>
      <c r="D218" s="203"/>
      <c r="E218" s="203"/>
      <c r="F218" s="203"/>
      <c r="G218" s="203"/>
      <c r="H218" s="203"/>
      <c r="I218" s="203"/>
      <c r="J218" s="203"/>
    </row>
    <row r="219" spans="1:10" ht="75" customHeight="1" x14ac:dyDescent="0.25">
      <c r="A219" s="204"/>
      <c r="B219" s="205"/>
      <c r="C219" s="205"/>
      <c r="D219" s="205"/>
      <c r="E219" s="205"/>
      <c r="F219" s="205"/>
      <c r="G219" s="205"/>
      <c r="H219" s="205"/>
      <c r="I219" s="205"/>
      <c r="J219" s="206"/>
    </row>
    <row r="220" spans="1:10" ht="17.25" customHeight="1" x14ac:dyDescent="0.25">
      <c r="A220" s="91"/>
      <c r="B220" s="91"/>
      <c r="C220" s="91"/>
      <c r="D220" s="91"/>
      <c r="E220" s="91"/>
      <c r="F220" s="91"/>
      <c r="G220" s="91"/>
      <c r="H220" s="91"/>
      <c r="I220" s="91"/>
      <c r="J220" s="91"/>
    </row>
    <row r="221" spans="1:10" ht="36.75" customHeight="1" x14ac:dyDescent="0.25">
      <c r="A221" s="207" t="s">
        <v>338</v>
      </c>
      <c r="B221" s="207"/>
      <c r="C221" s="207"/>
      <c r="D221" s="207"/>
      <c r="E221" s="207"/>
      <c r="F221" s="207"/>
      <c r="G221" s="207"/>
      <c r="H221" s="207"/>
      <c r="I221" s="207"/>
      <c r="J221" s="207"/>
    </row>
    <row r="222" spans="1:10" x14ac:dyDescent="0.25">
      <c r="A222" s="100"/>
      <c r="B222" s="100"/>
      <c r="C222" s="100"/>
      <c r="D222" s="100"/>
      <c r="E222" s="100"/>
      <c r="F222" s="100"/>
      <c r="G222" s="100"/>
      <c r="H222" s="100"/>
      <c r="I222" s="100"/>
      <c r="J222" s="100"/>
    </row>
  </sheetData>
  <sheetProtection password="CC4A" sheet="1" objects="1" scenarios="1" formatCells="0" formatRows="0" selectLockedCells="1"/>
  <mergeCells count="353">
    <mergeCell ref="A215:J215"/>
    <mergeCell ref="A216:J216"/>
    <mergeCell ref="A217:J217"/>
    <mergeCell ref="A218:J218"/>
    <mergeCell ref="A219:J219"/>
    <mergeCell ref="A221:J221"/>
    <mergeCell ref="A208:B208"/>
    <mergeCell ref="C208:F208"/>
    <mergeCell ref="A210:J210"/>
    <mergeCell ref="A212:J212"/>
    <mergeCell ref="A213:J213"/>
    <mergeCell ref="A214:J214"/>
    <mergeCell ref="A204:J204"/>
    <mergeCell ref="A206:B206"/>
    <mergeCell ref="C206:F206"/>
    <mergeCell ref="G206:H206"/>
    <mergeCell ref="I206:J206"/>
    <mergeCell ref="A207:B207"/>
    <mergeCell ref="C207:F207"/>
    <mergeCell ref="A198:J198"/>
    <mergeCell ref="H199:J199"/>
    <mergeCell ref="F200:F202"/>
    <mergeCell ref="H200:J200"/>
    <mergeCell ref="H201:J201"/>
    <mergeCell ref="H202:J202"/>
    <mergeCell ref="A195:J195"/>
    <mergeCell ref="B196:C196"/>
    <mergeCell ref="E196:F196"/>
    <mergeCell ref="G196:H196"/>
    <mergeCell ref="I196:J196"/>
    <mergeCell ref="B197:C197"/>
    <mergeCell ref="E197:F197"/>
    <mergeCell ref="G197:H197"/>
    <mergeCell ref="I197:J197"/>
    <mergeCell ref="A193:A194"/>
    <mergeCell ref="B193:B194"/>
    <mergeCell ref="C193:D193"/>
    <mergeCell ref="E193:F193"/>
    <mergeCell ref="G193:H193"/>
    <mergeCell ref="I193:J193"/>
    <mergeCell ref="C194:D194"/>
    <mergeCell ref="E194:F194"/>
    <mergeCell ref="G194:H194"/>
    <mergeCell ref="I194:J194"/>
    <mergeCell ref="A191:A192"/>
    <mergeCell ref="B191:B192"/>
    <mergeCell ref="C191:D191"/>
    <mergeCell ref="E191:F191"/>
    <mergeCell ref="G191:H191"/>
    <mergeCell ref="I191:J191"/>
    <mergeCell ref="C192:D192"/>
    <mergeCell ref="E192:F192"/>
    <mergeCell ref="G192:H192"/>
    <mergeCell ref="I192:J192"/>
    <mergeCell ref="A189:A190"/>
    <mergeCell ref="B189:B190"/>
    <mergeCell ref="C189:D189"/>
    <mergeCell ref="E189:F189"/>
    <mergeCell ref="G189:H189"/>
    <mergeCell ref="I189:J189"/>
    <mergeCell ref="C190:D190"/>
    <mergeCell ref="E190:F190"/>
    <mergeCell ref="G190:H190"/>
    <mergeCell ref="I190:J190"/>
    <mergeCell ref="A186:J186"/>
    <mergeCell ref="A187:J187"/>
    <mergeCell ref="A188:B188"/>
    <mergeCell ref="C188:D188"/>
    <mergeCell ref="E188:F188"/>
    <mergeCell ref="G188:H188"/>
    <mergeCell ref="I188:J188"/>
    <mergeCell ref="A183:B183"/>
    <mergeCell ref="C183:D183"/>
    <mergeCell ref="E183:G183"/>
    <mergeCell ref="H183:J183"/>
    <mergeCell ref="A184:J184"/>
    <mergeCell ref="A185:J185"/>
    <mergeCell ref="A181:B181"/>
    <mergeCell ref="C181:D181"/>
    <mergeCell ref="E181:G181"/>
    <mergeCell ref="H181:J181"/>
    <mergeCell ref="A182:B182"/>
    <mergeCell ref="C182:D182"/>
    <mergeCell ref="E182:G182"/>
    <mergeCell ref="H182:J182"/>
    <mergeCell ref="A177:J177"/>
    <mergeCell ref="A178:J178"/>
    <mergeCell ref="A179:J179"/>
    <mergeCell ref="A180:B180"/>
    <mergeCell ref="C180:D180"/>
    <mergeCell ref="E180:G180"/>
    <mergeCell ref="H180:J180"/>
    <mergeCell ref="A172:B174"/>
    <mergeCell ref="C172:D174"/>
    <mergeCell ref="E172:G174"/>
    <mergeCell ref="I174:J174"/>
    <mergeCell ref="A175:B176"/>
    <mergeCell ref="C175:G176"/>
    <mergeCell ref="H175:H176"/>
    <mergeCell ref="A165:C165"/>
    <mergeCell ref="D165:F165"/>
    <mergeCell ref="I165:J165"/>
    <mergeCell ref="A169:J169"/>
    <mergeCell ref="A171:B171"/>
    <mergeCell ref="C171:D171"/>
    <mergeCell ref="E171:G171"/>
    <mergeCell ref="H171:J171"/>
    <mergeCell ref="A158:J158"/>
    <mergeCell ref="A159:J159"/>
    <mergeCell ref="B161:J161"/>
    <mergeCell ref="A163:C163"/>
    <mergeCell ref="D163:F163"/>
    <mergeCell ref="I163:J163"/>
    <mergeCell ref="A152:C152"/>
    <mergeCell ref="D152:F152"/>
    <mergeCell ref="G152:J152"/>
    <mergeCell ref="A154:J154"/>
    <mergeCell ref="A155:J155"/>
    <mergeCell ref="A156:J156"/>
    <mergeCell ref="G149:J149"/>
    <mergeCell ref="A150:C150"/>
    <mergeCell ref="D150:F150"/>
    <mergeCell ref="G150:J150"/>
    <mergeCell ref="A151:C151"/>
    <mergeCell ref="D151:F151"/>
    <mergeCell ref="G151:J151"/>
    <mergeCell ref="A146:B146"/>
    <mergeCell ref="C146:F146"/>
    <mergeCell ref="A147:B147"/>
    <mergeCell ref="C147:F147"/>
    <mergeCell ref="A149:C149"/>
    <mergeCell ref="D149:F149"/>
    <mergeCell ref="A137:D137"/>
    <mergeCell ref="F137:J137"/>
    <mergeCell ref="A143:J143"/>
    <mergeCell ref="A145:B145"/>
    <mergeCell ref="C145:F145"/>
    <mergeCell ref="G145:I145"/>
    <mergeCell ref="A131:D136"/>
    <mergeCell ref="E131:J131"/>
    <mergeCell ref="F132:J132"/>
    <mergeCell ref="F133:J133"/>
    <mergeCell ref="F134:J134"/>
    <mergeCell ref="F135:J135"/>
    <mergeCell ref="F136:J136"/>
    <mergeCell ref="F126:J126"/>
    <mergeCell ref="A127:D129"/>
    <mergeCell ref="F127:J127"/>
    <mergeCell ref="F128:J128"/>
    <mergeCell ref="F129:J129"/>
    <mergeCell ref="A130:D130"/>
    <mergeCell ref="F130:J130"/>
    <mergeCell ref="A120:D120"/>
    <mergeCell ref="F120:G120"/>
    <mergeCell ref="I120:J120"/>
    <mergeCell ref="A121:D121"/>
    <mergeCell ref="F121:J121"/>
    <mergeCell ref="A122:D126"/>
    <mergeCell ref="E122:J122"/>
    <mergeCell ref="F123:J123"/>
    <mergeCell ref="F124:J124"/>
    <mergeCell ref="F125:J125"/>
    <mergeCell ref="A115:J115"/>
    <mergeCell ref="A117:D117"/>
    <mergeCell ref="F117:J117"/>
    <mergeCell ref="A118:D118"/>
    <mergeCell ref="F118:J118"/>
    <mergeCell ref="A119:D119"/>
    <mergeCell ref="F119:J119"/>
    <mergeCell ref="B104:J104"/>
    <mergeCell ref="B106:J106"/>
    <mergeCell ref="A108:C108"/>
    <mergeCell ref="D108:F108"/>
    <mergeCell ref="I108:J108"/>
    <mergeCell ref="A110:C110"/>
    <mergeCell ref="D110:F110"/>
    <mergeCell ref="I110:J110"/>
    <mergeCell ref="A96:B101"/>
    <mergeCell ref="D96:J96"/>
    <mergeCell ref="D97:J97"/>
    <mergeCell ref="D98:J98"/>
    <mergeCell ref="D99:J99"/>
    <mergeCell ref="D100:J100"/>
    <mergeCell ref="A91:B95"/>
    <mergeCell ref="D91:J91"/>
    <mergeCell ref="D92:J92"/>
    <mergeCell ref="D93:J93"/>
    <mergeCell ref="D94:J94"/>
    <mergeCell ref="C95:D95"/>
    <mergeCell ref="E95:J95"/>
    <mergeCell ref="C101:D101"/>
    <mergeCell ref="E101:J101"/>
    <mergeCell ref="A85:B85"/>
    <mergeCell ref="C85:J85"/>
    <mergeCell ref="A86:B90"/>
    <mergeCell ref="D86:J86"/>
    <mergeCell ref="D87:J87"/>
    <mergeCell ref="D88:J88"/>
    <mergeCell ref="D89:J89"/>
    <mergeCell ref="A81:B81"/>
    <mergeCell ref="C81:G81"/>
    <mergeCell ref="A82:B82"/>
    <mergeCell ref="C82:G82"/>
    <mergeCell ref="A83:B83"/>
    <mergeCell ref="C83:G83"/>
    <mergeCell ref="C90:D90"/>
    <mergeCell ref="E90:J90"/>
    <mergeCell ref="A77:B77"/>
    <mergeCell ref="C77:D77"/>
    <mergeCell ref="E77:F77"/>
    <mergeCell ref="G77:H77"/>
    <mergeCell ref="I77:J77"/>
    <mergeCell ref="A79:J79"/>
    <mergeCell ref="A75:B75"/>
    <mergeCell ref="C75:D75"/>
    <mergeCell ref="E75:F75"/>
    <mergeCell ref="G75:H75"/>
    <mergeCell ref="I75:J75"/>
    <mergeCell ref="A76:B76"/>
    <mergeCell ref="C76:D76"/>
    <mergeCell ref="E76:F76"/>
    <mergeCell ref="G76:H76"/>
    <mergeCell ref="I76:J76"/>
    <mergeCell ref="A73:B73"/>
    <mergeCell ref="C73:D73"/>
    <mergeCell ref="E73:F73"/>
    <mergeCell ref="G73:H73"/>
    <mergeCell ref="I73:J73"/>
    <mergeCell ref="A74:B74"/>
    <mergeCell ref="C74:D74"/>
    <mergeCell ref="E74:F74"/>
    <mergeCell ref="G74:H74"/>
    <mergeCell ref="I74:J74"/>
    <mergeCell ref="A66:J66"/>
    <mergeCell ref="A68:B68"/>
    <mergeCell ref="C68:G68"/>
    <mergeCell ref="A70:B70"/>
    <mergeCell ref="C70:G70"/>
    <mergeCell ref="A72:J72"/>
    <mergeCell ref="A64:B64"/>
    <mergeCell ref="C64:F64"/>
    <mergeCell ref="G64:J64"/>
    <mergeCell ref="A65:B65"/>
    <mergeCell ref="C65:F65"/>
    <mergeCell ref="G65:J65"/>
    <mergeCell ref="A62:B62"/>
    <mergeCell ref="C62:F62"/>
    <mergeCell ref="G62:J62"/>
    <mergeCell ref="A63:B63"/>
    <mergeCell ref="C63:F63"/>
    <mergeCell ref="G63:J63"/>
    <mergeCell ref="A60:B60"/>
    <mergeCell ref="C60:F60"/>
    <mergeCell ref="G60:J60"/>
    <mergeCell ref="A61:B61"/>
    <mergeCell ref="C61:F61"/>
    <mergeCell ref="G61:J61"/>
    <mergeCell ref="A58:B58"/>
    <mergeCell ref="C58:F58"/>
    <mergeCell ref="G58:J58"/>
    <mergeCell ref="A59:B59"/>
    <mergeCell ref="C59:F59"/>
    <mergeCell ref="G59:J59"/>
    <mergeCell ref="A56:B56"/>
    <mergeCell ref="C56:F56"/>
    <mergeCell ref="G56:J56"/>
    <mergeCell ref="A57:B57"/>
    <mergeCell ref="C57:F57"/>
    <mergeCell ref="G57:J57"/>
    <mergeCell ref="A54:B54"/>
    <mergeCell ref="C54:F54"/>
    <mergeCell ref="G54:J54"/>
    <mergeCell ref="A55:B55"/>
    <mergeCell ref="C55:F55"/>
    <mergeCell ref="G55:J55"/>
    <mergeCell ref="A52:B52"/>
    <mergeCell ref="C52:F52"/>
    <mergeCell ref="G52:J52"/>
    <mergeCell ref="A53:B53"/>
    <mergeCell ref="C53:F53"/>
    <mergeCell ref="G53:J53"/>
    <mergeCell ref="A36:B36"/>
    <mergeCell ref="C36:F36"/>
    <mergeCell ref="G36:J36"/>
    <mergeCell ref="A51:B51"/>
    <mergeCell ref="C51:F51"/>
    <mergeCell ref="G51:J51"/>
    <mergeCell ref="A31:B31"/>
    <mergeCell ref="C31:G31"/>
    <mergeCell ref="A33:J33"/>
    <mergeCell ref="A35:B35"/>
    <mergeCell ref="C35:F35"/>
    <mergeCell ref="G35:J35"/>
    <mergeCell ref="A37:B37"/>
    <mergeCell ref="A38:B38"/>
    <mergeCell ref="A39:B39"/>
    <mergeCell ref="A40:B40"/>
    <mergeCell ref="A41:B41"/>
    <mergeCell ref="A42:B42"/>
    <mergeCell ref="A43:B43"/>
    <mergeCell ref="A44:B44"/>
    <mergeCell ref="A45:B45"/>
    <mergeCell ref="A46:B46"/>
    <mergeCell ref="A47:B47"/>
    <mergeCell ref="A48:B48"/>
    <mergeCell ref="A27:J27"/>
    <mergeCell ref="A29:B29"/>
    <mergeCell ref="C29:G29"/>
    <mergeCell ref="A7:B7"/>
    <mergeCell ref="C7:G7"/>
    <mergeCell ref="A9:J9"/>
    <mergeCell ref="A10:J10"/>
    <mergeCell ref="A11:J11"/>
    <mergeCell ref="A13:J13"/>
    <mergeCell ref="A1:J1"/>
    <mergeCell ref="A3:B3"/>
    <mergeCell ref="C3:D3"/>
    <mergeCell ref="F3:G3"/>
    <mergeCell ref="A5:B5"/>
    <mergeCell ref="C5:G5"/>
    <mergeCell ref="A15:J15"/>
    <mergeCell ref="A23:J23"/>
    <mergeCell ref="A25:J25"/>
    <mergeCell ref="A49:B49"/>
    <mergeCell ref="A50:B50"/>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G46:J46"/>
    <mergeCell ref="G47:J47"/>
    <mergeCell ref="G48:J48"/>
    <mergeCell ref="G49:J49"/>
    <mergeCell ref="G50:J50"/>
    <mergeCell ref="G37:J37"/>
    <mergeCell ref="G38:J38"/>
    <mergeCell ref="G39:J39"/>
    <mergeCell ref="G40:J40"/>
    <mergeCell ref="G41:J41"/>
    <mergeCell ref="G42:J42"/>
    <mergeCell ref="G43:J43"/>
    <mergeCell ref="G44:J44"/>
    <mergeCell ref="G45:J45"/>
  </mergeCells>
  <dataValidations disablePrompts="1" count="1">
    <dataValidation type="list" allowBlank="1" showInputMessage="1" showErrorMessage="1" sqref="C86:C89 C91:C94 C96:C100 A104 A106 E123:E125 E132:E135 E127:E128 A161 I172:I173 J175:J176">
      <formula1>"---,X"</formula1>
    </dataValidation>
  </dataValidations>
  <pageMargins left="0.7" right="0.7" top="0.92708333333333337" bottom="0.75" header="0.3" footer="0.3"/>
  <pageSetup scale="98" fitToHeight="0" orientation="portrait" horizontalDpi="300" r:id="rId1"/>
  <headerFooter>
    <oddHeader xml:space="preserve">&amp;L
&amp;CSGO#2 TIERED (WEIGHTED)
</oddHeader>
  </headerFooter>
  <rowBreaks count="8" manualBreakCount="8">
    <brk id="25" max="16383" man="1"/>
    <brk id="65" max="16383" man="1"/>
    <brk id="78" max="16383" man="1"/>
    <brk id="113" max="16383" man="1"/>
    <brk id="141" max="16383" man="1"/>
    <brk id="167" max="16383" man="1"/>
    <brk id="185" max="16383" man="1"/>
    <brk id="20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105</vt:i4>
      </vt:variant>
    </vt:vector>
  </HeadingPairs>
  <TitlesOfParts>
    <vt:vector size="116" baseType="lpstr">
      <vt:lpstr>SGO calculation(Tiered or Simp)</vt:lpstr>
      <vt:lpstr>SGO #1(Tiered or Simple)</vt:lpstr>
      <vt:lpstr>SGO #2(Tiered or Simple)</vt:lpstr>
      <vt:lpstr>Print Out</vt:lpstr>
      <vt:lpstr>Calculations</vt:lpstr>
      <vt:lpstr>SGO#1 Simple Form</vt:lpstr>
      <vt:lpstr>SGO#1 Tiered Average</vt:lpstr>
      <vt:lpstr>SGO#1 Tiered Weighted</vt:lpstr>
      <vt:lpstr>SGO#2 Simple Form</vt:lpstr>
      <vt:lpstr>SGO#2 Tiered Average</vt:lpstr>
      <vt:lpstr>SGO#2 Tiered Weighted</vt:lpstr>
      <vt:lpstr>_0</vt:lpstr>
      <vt:lpstr>_1</vt:lpstr>
      <vt:lpstr>_10</vt:lpstr>
      <vt:lpstr>_100</vt:lpstr>
      <vt:lpstr>_11</vt:lpstr>
      <vt:lpstr>_12</vt:lpstr>
      <vt:lpstr>_13</vt:lpstr>
      <vt:lpstr>_14</vt:lpstr>
      <vt:lpstr>_15</vt:lpstr>
      <vt:lpstr>_16</vt:lpstr>
      <vt:lpstr>_17</vt:lpstr>
      <vt:lpstr>_18</vt:lpstr>
      <vt:lpstr>_19</vt:lpstr>
      <vt:lpstr>_2</vt:lpstr>
      <vt:lpstr>_20</vt:lpstr>
      <vt:lpstr>_21</vt:lpstr>
      <vt:lpstr>_22</vt:lpstr>
      <vt:lpstr>_23</vt:lpstr>
      <vt:lpstr>_24</vt:lpstr>
      <vt:lpstr>_25</vt:lpstr>
      <vt:lpstr>_26</vt:lpstr>
      <vt:lpstr>_27</vt:lpstr>
      <vt:lpstr>_28</vt:lpstr>
      <vt:lpstr>_29</vt:lpstr>
      <vt:lpstr>_3</vt:lpstr>
      <vt:lpstr>_30</vt:lpstr>
      <vt:lpstr>_31</vt:lpstr>
      <vt:lpstr>_32</vt:lpstr>
      <vt:lpstr>_33</vt:lpstr>
      <vt:lpstr>_34</vt:lpstr>
      <vt:lpstr>_35</vt:lpstr>
      <vt:lpstr>_36</vt:lpstr>
      <vt:lpstr>_37</vt:lpstr>
      <vt:lpstr>_38</vt:lpstr>
      <vt:lpstr>_39</vt:lpstr>
      <vt:lpstr>_4</vt:lpstr>
      <vt:lpstr>_40</vt:lpstr>
      <vt:lpstr>_41</vt:lpstr>
      <vt:lpstr>_42</vt:lpstr>
      <vt:lpstr>_43</vt:lpstr>
      <vt:lpstr>_44</vt:lpstr>
      <vt:lpstr>_45</vt:lpstr>
      <vt:lpstr>_46</vt:lpstr>
      <vt:lpstr>_47</vt:lpstr>
      <vt:lpstr>_48</vt:lpstr>
      <vt:lpstr>_49</vt:lpstr>
      <vt:lpstr>_5</vt:lpstr>
      <vt:lpstr>_50</vt:lpstr>
      <vt:lpstr>_51</vt:lpstr>
      <vt:lpstr>_52</vt:lpstr>
      <vt:lpstr>_53</vt:lpstr>
      <vt:lpstr>_54</vt:lpstr>
      <vt:lpstr>_55</vt:lpstr>
      <vt:lpstr>_56</vt:lpstr>
      <vt:lpstr>_57</vt:lpstr>
      <vt:lpstr>_58</vt:lpstr>
      <vt:lpstr>_59</vt:lpstr>
      <vt:lpstr>_6</vt:lpstr>
      <vt:lpstr>_60</vt:lpstr>
      <vt:lpstr>_61</vt:lpstr>
      <vt:lpstr>_62</vt:lpstr>
      <vt:lpstr>_63</vt:lpstr>
      <vt:lpstr>_64</vt:lpstr>
      <vt:lpstr>_65</vt:lpstr>
      <vt:lpstr>_66</vt:lpstr>
      <vt:lpstr>_67</vt:lpstr>
      <vt:lpstr>_68</vt:lpstr>
      <vt:lpstr>_69</vt:lpstr>
      <vt:lpstr>_7</vt:lpstr>
      <vt:lpstr>_70</vt:lpstr>
      <vt:lpstr>_71</vt:lpstr>
      <vt:lpstr>_72</vt:lpstr>
      <vt:lpstr>_73</vt:lpstr>
      <vt:lpstr>_74</vt:lpstr>
      <vt:lpstr>_75</vt:lpstr>
      <vt:lpstr>_76</vt:lpstr>
      <vt:lpstr>_77</vt:lpstr>
      <vt:lpstr>_78</vt:lpstr>
      <vt:lpstr>_79</vt:lpstr>
      <vt:lpstr>_8</vt:lpstr>
      <vt:lpstr>_80</vt:lpstr>
      <vt:lpstr>_81</vt:lpstr>
      <vt:lpstr>_82</vt:lpstr>
      <vt:lpstr>_83</vt:lpstr>
      <vt:lpstr>_84</vt:lpstr>
      <vt:lpstr>_85</vt:lpstr>
      <vt:lpstr>_86</vt:lpstr>
      <vt:lpstr>_87</vt:lpstr>
      <vt:lpstr>_88</vt:lpstr>
      <vt:lpstr>_89</vt:lpstr>
      <vt:lpstr>_9</vt:lpstr>
      <vt:lpstr>_90</vt:lpstr>
      <vt:lpstr>_91</vt:lpstr>
      <vt:lpstr>_92</vt:lpstr>
      <vt:lpstr>_93</vt:lpstr>
      <vt:lpstr>_94</vt:lpstr>
      <vt:lpstr>_95</vt:lpstr>
      <vt:lpstr>_96</vt:lpstr>
      <vt:lpstr>_97</vt:lpstr>
      <vt:lpstr>_98</vt:lpstr>
      <vt:lpstr>_99</vt:lpstr>
      <vt:lpstr>Clear1</vt:lpstr>
      <vt:lpstr>clear2</vt:lpstr>
      <vt:lpstr>clear3</vt:lpstr>
      <vt:lpstr>clear4</vt:lpstr>
    </vt:vector>
  </TitlesOfParts>
  <Company>Hackensack Public School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p:lastModifiedBy>
  <cp:lastPrinted>2014-05-08T18:11:37Z</cp:lastPrinted>
  <dcterms:created xsi:type="dcterms:W3CDTF">2013-10-11T15:29:27Z</dcterms:created>
  <dcterms:modified xsi:type="dcterms:W3CDTF">2014-09-07T17:30:00Z</dcterms:modified>
</cp:coreProperties>
</file>